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53222"/>
  <mc:AlternateContent xmlns:mc="http://schemas.openxmlformats.org/markup-compatibility/2006">
    <mc:Choice Requires="x15">
      <x15ac:absPath xmlns:x15ac="http://schemas.microsoft.com/office/spreadsheetml/2010/11/ac" url="K:\TUC_TPTO\098288000-YMPO_RTP_2018-2041\Meetings\RTP-TAC5 08-11-2016\Materials\"/>
    </mc:Choice>
  </mc:AlternateContent>
  <bookViews>
    <workbookView xWindow="0" yWindow="0" windowWidth="19200" windowHeight="10176" tabRatio="944" activeTab="6"/>
  </bookViews>
  <sheets>
    <sheet name="City of San Luis  " sheetId="16" r:id="rId1"/>
    <sheet name="City of Somerton " sheetId="14" r:id="rId2"/>
    <sheet name="Town of Wellton " sheetId="13" r:id="rId3"/>
    <sheet name="City of Yuma " sheetId="2" r:id="rId4"/>
    <sheet name="Yuma Cty Revenues " sheetId="15" r:id="rId5"/>
    <sheet name="ADOT _federal revenues " sheetId="7" r:id="rId6"/>
    <sheet name="Summary" sheetId="19" r:id="rId7"/>
    <sheet name="Developer " sheetId="18"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9" l="1"/>
  <c r="E19" i="19"/>
  <c r="D19" i="19"/>
  <c r="C19" i="19"/>
  <c r="B19" i="19"/>
  <c r="G20" i="19"/>
  <c r="F20" i="19"/>
  <c r="E20" i="19"/>
  <c r="D20" i="19"/>
  <c r="C20" i="19"/>
  <c r="B20" i="19"/>
  <c r="F5" i="19"/>
  <c r="E5" i="19"/>
  <c r="D5" i="19"/>
  <c r="C5" i="19"/>
  <c r="B5" i="19"/>
  <c r="G5" i="19" s="1"/>
  <c r="C3" i="15"/>
  <c r="C4" i="15"/>
  <c r="B5" i="15"/>
  <c r="C5" i="15"/>
  <c r="D8" i="15"/>
  <c r="D15" i="15"/>
  <c r="D9" i="15"/>
  <c r="D16" i="15"/>
  <c r="F22" i="19" l="1"/>
  <c r="E22" i="19"/>
  <c r="D22" i="19"/>
  <c r="C22" i="19"/>
  <c r="B22" i="19"/>
  <c r="F21" i="19"/>
  <c r="E21" i="19"/>
  <c r="D21" i="19"/>
  <c r="C21" i="19"/>
  <c r="B21" i="19"/>
  <c r="F25" i="19"/>
  <c r="E25" i="19"/>
  <c r="D25" i="19"/>
  <c r="C25" i="19"/>
  <c r="B25" i="19"/>
  <c r="F24" i="19"/>
  <c r="E24" i="19"/>
  <c r="D24" i="19"/>
  <c r="C24" i="19"/>
  <c r="B24" i="19"/>
  <c r="F23" i="19"/>
  <c r="E23" i="19"/>
  <c r="D23" i="19"/>
  <c r="C23" i="19"/>
  <c r="B23" i="19"/>
  <c r="F18" i="19"/>
  <c r="E18" i="19"/>
  <c r="D18" i="19"/>
  <c r="C18" i="19"/>
  <c r="B18" i="19"/>
  <c r="F10" i="19"/>
  <c r="E10" i="19"/>
  <c r="D10" i="19"/>
  <c r="C10" i="19"/>
  <c r="B10" i="19"/>
  <c r="B9" i="19"/>
  <c r="G9" i="19" s="1"/>
  <c r="F8" i="19"/>
  <c r="E8" i="19"/>
  <c r="D8" i="19"/>
  <c r="C8" i="19"/>
  <c r="B8" i="19"/>
  <c r="F7" i="19"/>
  <c r="E7" i="19"/>
  <c r="D7" i="19"/>
  <c r="C7" i="19"/>
  <c r="B7" i="19"/>
  <c r="H28" i="7"/>
  <c r="H10" i="7"/>
  <c r="AD7" i="7"/>
  <c r="AD6" i="7"/>
  <c r="AC6" i="7"/>
  <c r="AB6" i="7"/>
  <c r="AA6" i="7"/>
  <c r="Z6" i="7"/>
  <c r="Y6" i="7"/>
  <c r="X6" i="7"/>
  <c r="W6" i="7"/>
  <c r="V6" i="7"/>
  <c r="U6" i="7"/>
  <c r="T6" i="7"/>
  <c r="S6" i="7"/>
  <c r="R6" i="7"/>
  <c r="Q6" i="7"/>
  <c r="P6" i="7"/>
  <c r="O6" i="7"/>
  <c r="N6" i="7"/>
  <c r="M6" i="7"/>
  <c r="L6" i="7"/>
  <c r="K6" i="7"/>
  <c r="J6" i="7"/>
  <c r="I6" i="7"/>
  <c r="H6" i="7"/>
  <c r="G6" i="7"/>
  <c r="G8" i="7"/>
  <c r="H8" i="7" s="1"/>
  <c r="G4" i="7"/>
  <c r="H4" i="7" s="1"/>
  <c r="AD5" i="7"/>
  <c r="AC5" i="7"/>
  <c r="AB5" i="7"/>
  <c r="AA5" i="7"/>
  <c r="Z5" i="7"/>
  <c r="Y5" i="7"/>
  <c r="X5" i="7"/>
  <c r="W5" i="7"/>
  <c r="V5" i="7"/>
  <c r="U5" i="7"/>
  <c r="T5" i="7"/>
  <c r="S5" i="7"/>
  <c r="R5" i="7"/>
  <c r="Q5" i="7"/>
  <c r="P5" i="7"/>
  <c r="O5" i="7"/>
  <c r="N5" i="7"/>
  <c r="M5" i="7"/>
  <c r="L5" i="7"/>
  <c r="K5" i="7"/>
  <c r="J5" i="7"/>
  <c r="I5" i="7"/>
  <c r="H5" i="7"/>
  <c r="G5" i="7"/>
  <c r="I4" i="7" l="1"/>
  <c r="J4" i="7" s="1"/>
  <c r="K4" i="7" s="1"/>
  <c r="H9" i="7"/>
  <c r="I9" i="7" s="1"/>
  <c r="J9" i="7" s="1"/>
  <c r="K9" i="7" s="1"/>
  <c r="L9" i="7" s="1"/>
  <c r="M9" i="7" s="1"/>
  <c r="N9" i="7" s="1"/>
  <c r="O9" i="7" s="1"/>
  <c r="P9" i="7" s="1"/>
  <c r="Q9" i="7" s="1"/>
  <c r="R9" i="7" s="1"/>
  <c r="S9" i="7" s="1"/>
  <c r="T9" i="7" s="1"/>
  <c r="U9" i="7" s="1"/>
  <c r="V9" i="7" s="1"/>
  <c r="W9" i="7" s="1"/>
  <c r="X9" i="7" s="1"/>
  <c r="Y9" i="7" s="1"/>
  <c r="Z9" i="7" s="1"/>
  <c r="AA9" i="7" s="1"/>
  <c r="AB9" i="7" s="1"/>
  <c r="AC9" i="7" s="1"/>
  <c r="G21" i="19"/>
  <c r="G23" i="19"/>
  <c r="G22" i="19"/>
  <c r="G10" i="19"/>
  <c r="G18" i="19"/>
  <c r="G24" i="19"/>
  <c r="G25" i="19"/>
  <c r="G7" i="19"/>
  <c r="G8" i="19"/>
  <c r="I8" i="7"/>
  <c r="J8" i="7" s="1"/>
  <c r="K8" i="7" s="1"/>
  <c r="L8" i="7" s="1"/>
  <c r="M8" i="7" s="1"/>
  <c r="N8" i="7" s="1"/>
  <c r="O8" i="7" s="1"/>
  <c r="P8" i="7" s="1"/>
  <c r="Q8" i="7" s="1"/>
  <c r="R8" i="7" s="1"/>
  <c r="S8" i="7" s="1"/>
  <c r="T8" i="7" s="1"/>
  <c r="U8" i="7" s="1"/>
  <c r="V8" i="7" s="1"/>
  <c r="W8" i="7" s="1"/>
  <c r="X8" i="7" s="1"/>
  <c r="Y8" i="7" s="1"/>
  <c r="Z8" i="7" s="1"/>
  <c r="AA8" i="7" s="1"/>
  <c r="AB8" i="7" s="1"/>
  <c r="AC8" i="7" s="1"/>
  <c r="F11" i="19"/>
  <c r="E11" i="19"/>
  <c r="D11" i="19"/>
  <c r="C11" i="19"/>
  <c r="B11" i="19"/>
  <c r="F6" i="19"/>
  <c r="E6" i="19"/>
  <c r="D6" i="19"/>
  <c r="C6" i="19"/>
  <c r="B6" i="19"/>
  <c r="L4" i="7" l="1"/>
  <c r="G11" i="19"/>
  <c r="G6" i="19"/>
  <c r="AD8" i="7"/>
  <c r="E34" i="7"/>
  <c r="F34" i="7" s="1"/>
  <c r="G14" i="7"/>
  <c r="F29" i="7"/>
  <c r="F7" i="7"/>
  <c r="G27" i="7"/>
  <c r="G28" i="7"/>
  <c r="B8" i="7" s="1"/>
  <c r="G26" i="7"/>
  <c r="H26" i="7" s="1"/>
  <c r="B6" i="7" s="1"/>
  <c r="G25" i="7"/>
  <c r="H25" i="7" s="1"/>
  <c r="B5" i="7" s="1"/>
  <c r="E16" i="15"/>
  <c r="E15" i="15"/>
  <c r="E9" i="15"/>
  <c r="E8" i="15"/>
  <c r="F9" i="15" l="1"/>
  <c r="E10" i="15"/>
  <c r="M4" i="7"/>
  <c r="F8" i="15"/>
  <c r="G8" i="15" s="1"/>
  <c r="H8" i="15" s="1"/>
  <c r="I8" i="15" s="1"/>
  <c r="J8" i="15" s="1"/>
  <c r="K8" i="15" s="1"/>
  <c r="L8" i="15" s="1"/>
  <c r="M8" i="15" s="1"/>
  <c r="N8" i="15" s="1"/>
  <c r="O8" i="15" s="1"/>
  <c r="P8" i="15" s="1"/>
  <c r="Q8" i="15" s="1"/>
  <c r="R8" i="15" s="1"/>
  <c r="S8" i="15" s="1"/>
  <c r="T8" i="15" s="1"/>
  <c r="U8" i="15" s="1"/>
  <c r="V8" i="15" s="1"/>
  <c r="W8" i="15" s="1"/>
  <c r="X8" i="15" s="1"/>
  <c r="Y8" i="15" s="1"/>
  <c r="Z8" i="15" s="1"/>
  <c r="AA8" i="15" s="1"/>
  <c r="AB8" i="15" s="1"/>
  <c r="F15" i="15"/>
  <c r="E17" i="15"/>
  <c r="F16" i="15"/>
  <c r="G16" i="15" s="1"/>
  <c r="H16" i="15" s="1"/>
  <c r="I16" i="15" s="1"/>
  <c r="J16" i="15" s="1"/>
  <c r="K16" i="15" s="1"/>
  <c r="L16" i="15" s="1"/>
  <c r="M16" i="15" s="1"/>
  <c r="N16" i="15" s="1"/>
  <c r="O16" i="15" s="1"/>
  <c r="P16" i="15" s="1"/>
  <c r="Q16" i="15" s="1"/>
  <c r="R16" i="15" s="1"/>
  <c r="S16" i="15" s="1"/>
  <c r="T16" i="15" s="1"/>
  <c r="U16" i="15" s="1"/>
  <c r="V16" i="15" s="1"/>
  <c r="W16" i="15" s="1"/>
  <c r="X16" i="15" s="1"/>
  <c r="Y16" i="15" s="1"/>
  <c r="Z16" i="15" s="1"/>
  <c r="AA16" i="15" s="1"/>
  <c r="AB16" i="15" s="1"/>
  <c r="G34" i="7"/>
  <c r="H34" i="7" s="1"/>
  <c r="I34" i="7" s="1"/>
  <c r="J34" i="7" s="1"/>
  <c r="K34" i="7" s="1"/>
  <c r="L34" i="7" s="1"/>
  <c r="M34" i="7" s="1"/>
  <c r="N34" i="7" s="1"/>
  <c r="O34" i="7" s="1"/>
  <c r="P34" i="7" s="1"/>
  <c r="Q34" i="7" s="1"/>
  <c r="R34" i="7" s="1"/>
  <c r="S34" i="7" s="1"/>
  <c r="T34" i="7" s="1"/>
  <c r="U34" i="7" s="1"/>
  <c r="V34" i="7" s="1"/>
  <c r="W34" i="7" s="1"/>
  <c r="X34" i="7" s="1"/>
  <c r="Y34" i="7" s="1"/>
  <c r="Z34" i="7" s="1"/>
  <c r="AA34" i="7" s="1"/>
  <c r="AB34" i="7" s="1"/>
  <c r="AC34" i="7" s="1"/>
  <c r="B4" i="7"/>
  <c r="B9" i="7" s="1"/>
  <c r="H29" i="7"/>
  <c r="D4" i="15"/>
  <c r="E4" i="15" s="1"/>
  <c r="AC8" i="15" l="1"/>
  <c r="G9" i="15"/>
  <c r="F10" i="15"/>
  <c r="N4" i="7"/>
  <c r="AC16" i="15"/>
  <c r="F4" i="15"/>
  <c r="G4" i="15" s="1"/>
  <c r="H4" i="15" s="1"/>
  <c r="I4" i="15" s="1"/>
  <c r="C28" i="15"/>
  <c r="G15" i="15"/>
  <c r="F17" i="15"/>
  <c r="AD34" i="7"/>
  <c r="G10" i="15" l="1"/>
  <c r="H9" i="15"/>
  <c r="O4" i="7"/>
  <c r="J4" i="15"/>
  <c r="K4" i="15" s="1"/>
  <c r="L4" i="15" s="1"/>
  <c r="M4" i="15" s="1"/>
  <c r="N4" i="15" s="1"/>
  <c r="O4" i="15" s="1"/>
  <c r="P4" i="15" s="1"/>
  <c r="Q4" i="15" s="1"/>
  <c r="R4" i="15" s="1"/>
  <c r="S4" i="15" s="1"/>
  <c r="C29" i="15"/>
  <c r="H15" i="15"/>
  <c r="G17" i="15"/>
  <c r="B17" i="2"/>
  <c r="C16" i="2"/>
  <c r="C17" i="2" s="1"/>
  <c r="B10" i="2"/>
  <c r="C9" i="2"/>
  <c r="D9" i="2" s="1"/>
  <c r="E9" i="2" s="1"/>
  <c r="C8" i="2"/>
  <c r="D8" i="2" s="1"/>
  <c r="E8" i="2" s="1"/>
  <c r="E10" i="2" s="1"/>
  <c r="I9" i="15" l="1"/>
  <c r="H10" i="15"/>
  <c r="P4" i="7"/>
  <c r="D16" i="2"/>
  <c r="E16" i="2" s="1"/>
  <c r="E17" i="2" s="1"/>
  <c r="I15" i="15"/>
  <c r="B4" i="19" s="1"/>
  <c r="H17" i="15"/>
  <c r="D10" i="2"/>
  <c r="T4" i="15"/>
  <c r="C10" i="2"/>
  <c r="D3" i="15"/>
  <c r="F16" i="2"/>
  <c r="F8" i="2"/>
  <c r="F9" i="2"/>
  <c r="G9" i="2" s="1"/>
  <c r="H9" i="2" s="1"/>
  <c r="I9" i="2" s="1"/>
  <c r="J9" i="2" s="1"/>
  <c r="K9" i="2" s="1"/>
  <c r="L9" i="2" s="1"/>
  <c r="M9" i="2" s="1"/>
  <c r="N9" i="2" s="1"/>
  <c r="O9" i="2" s="1"/>
  <c r="P9" i="2" s="1"/>
  <c r="Q9" i="2" s="1"/>
  <c r="R9" i="2" s="1"/>
  <c r="S9" i="2" s="1"/>
  <c r="T9" i="2" s="1"/>
  <c r="U9" i="2" s="1"/>
  <c r="V9" i="2" s="1"/>
  <c r="W9" i="2" s="1"/>
  <c r="X9" i="2" s="1"/>
  <c r="Y9" i="2" s="1"/>
  <c r="Z9" i="2" s="1"/>
  <c r="AA9" i="2" s="1"/>
  <c r="AB9" i="2" s="1"/>
  <c r="D4" i="2"/>
  <c r="E4" i="2" s="1"/>
  <c r="C4" i="2"/>
  <c r="D5" i="13"/>
  <c r="C5" i="13"/>
  <c r="C4" i="14"/>
  <c r="D4" i="14" s="1"/>
  <c r="E4" i="14" s="1"/>
  <c r="F4" i="14" s="1"/>
  <c r="G4" i="14" s="1"/>
  <c r="H4" i="14" s="1"/>
  <c r="I4" i="14" s="1"/>
  <c r="J4" i="14" s="1"/>
  <c r="K4" i="14" s="1"/>
  <c r="L4" i="14" s="1"/>
  <c r="M4" i="14" s="1"/>
  <c r="C3" i="2"/>
  <c r="C5" i="2" s="1"/>
  <c r="C3" i="16"/>
  <c r="D3" i="16" s="1"/>
  <c r="E3" i="16" s="1"/>
  <c r="E4" i="16" s="1"/>
  <c r="C3" i="13"/>
  <c r="D3" i="13" s="1"/>
  <c r="E3" i="13" s="1"/>
  <c r="E5" i="13" s="1"/>
  <c r="C3" i="14"/>
  <c r="D3" i="14" s="1"/>
  <c r="E3" i="14" s="1"/>
  <c r="AC12" i="15"/>
  <c r="AC8" i="16"/>
  <c r="AC10" i="13"/>
  <c r="AC8" i="14"/>
  <c r="B12" i="19" l="1"/>
  <c r="J9" i="15"/>
  <c r="I10" i="15"/>
  <c r="Q4" i="7"/>
  <c r="R4" i="7" s="1"/>
  <c r="S4" i="7" s="1"/>
  <c r="T4" i="7" s="1"/>
  <c r="U4" i="7" s="1"/>
  <c r="AC9" i="2"/>
  <c r="D17" i="2"/>
  <c r="U4" i="15"/>
  <c r="G8" i="2"/>
  <c r="F10" i="2"/>
  <c r="J15" i="15"/>
  <c r="I17" i="15"/>
  <c r="I18" i="15" s="1"/>
  <c r="D5" i="15"/>
  <c r="E3" i="15"/>
  <c r="E5" i="15" s="1"/>
  <c r="G16" i="2"/>
  <c r="F17" i="2"/>
  <c r="D3" i="2"/>
  <c r="N4" i="14"/>
  <c r="O4" i="14" s="1"/>
  <c r="P4" i="14" s="1"/>
  <c r="Q4" i="14" s="1"/>
  <c r="R4" i="14" s="1"/>
  <c r="S4" i="14" s="1"/>
  <c r="T4" i="14" s="1"/>
  <c r="U4" i="14" s="1"/>
  <c r="V4" i="14" s="1"/>
  <c r="W4" i="14" s="1"/>
  <c r="X4" i="14" s="1"/>
  <c r="Y4" i="14" s="1"/>
  <c r="Z4" i="14" s="1"/>
  <c r="AA4" i="14" s="1"/>
  <c r="AB4" i="14" s="1"/>
  <c r="F5" i="18"/>
  <c r="E5" i="18"/>
  <c r="D5" i="18"/>
  <c r="C5" i="18"/>
  <c r="G3" i="18"/>
  <c r="B26" i="19" l="1"/>
  <c r="K9" i="15"/>
  <c r="J10" i="15"/>
  <c r="V4" i="7"/>
  <c r="H8" i="2"/>
  <c r="G10" i="2"/>
  <c r="V4" i="15"/>
  <c r="K15" i="15"/>
  <c r="J17" i="15"/>
  <c r="H16" i="2"/>
  <c r="G17" i="2"/>
  <c r="D5" i="2"/>
  <c r="E3" i="2"/>
  <c r="AC4" i="14"/>
  <c r="H3" i="18"/>
  <c r="G5" i="18"/>
  <c r="L9" i="15" l="1"/>
  <c r="K10" i="15"/>
  <c r="W4" i="7"/>
  <c r="X4" i="7" s="1"/>
  <c r="Y4" i="7" s="1"/>
  <c r="Z4" i="7" s="1"/>
  <c r="L15" i="15"/>
  <c r="K17" i="15"/>
  <c r="W4" i="15"/>
  <c r="I8" i="2"/>
  <c r="H10" i="2"/>
  <c r="I16" i="2"/>
  <c r="H17" i="2"/>
  <c r="H5" i="18"/>
  <c r="I3" i="18"/>
  <c r="M9" i="15" l="1"/>
  <c r="L10" i="15"/>
  <c r="AA4" i="7"/>
  <c r="AB4" i="7" s="1"/>
  <c r="AC4" i="7" s="1"/>
  <c r="AD4" i="7" s="1"/>
  <c r="X4" i="15"/>
  <c r="J8" i="2"/>
  <c r="I10" i="2"/>
  <c r="M15" i="15"/>
  <c r="L17" i="15"/>
  <c r="J16" i="2"/>
  <c r="I17" i="2"/>
  <c r="I18" i="2" s="1"/>
  <c r="I5" i="18"/>
  <c r="J3" i="18"/>
  <c r="B9" i="18"/>
  <c r="N9" i="15" l="1"/>
  <c r="M10" i="15"/>
  <c r="K8" i="2"/>
  <c r="J10" i="2"/>
  <c r="Y4" i="15"/>
  <c r="N15" i="15"/>
  <c r="C4" i="19" s="1"/>
  <c r="M17" i="15"/>
  <c r="K16" i="2"/>
  <c r="J17" i="2"/>
  <c r="J5" i="18"/>
  <c r="K3" i="18"/>
  <c r="H14" i="7"/>
  <c r="G9" i="7"/>
  <c r="AD9" i="7" s="1"/>
  <c r="F9" i="7"/>
  <c r="F10" i="7" s="1"/>
  <c r="F3" i="15"/>
  <c r="F5" i="15" s="1"/>
  <c r="F4" i="2"/>
  <c r="G4" i="2" s="1"/>
  <c r="H4" i="2" s="1"/>
  <c r="I4" i="2" s="1"/>
  <c r="F3" i="2"/>
  <c r="G3" i="2" s="1"/>
  <c r="H3" i="2" s="1"/>
  <c r="I3" i="2" s="1"/>
  <c r="F3" i="16"/>
  <c r="F3" i="14"/>
  <c r="F3" i="13"/>
  <c r="C12" i="19" l="1"/>
  <c r="O9" i="15"/>
  <c r="N10" i="15"/>
  <c r="G3" i="13"/>
  <c r="F5" i="13"/>
  <c r="Z4" i="15"/>
  <c r="L8" i="2"/>
  <c r="K10" i="2"/>
  <c r="O15" i="15"/>
  <c r="N17" i="15"/>
  <c r="N18" i="15" s="1"/>
  <c r="F14" i="7"/>
  <c r="I10" i="7"/>
  <c r="I14" i="7" s="1"/>
  <c r="L16" i="2"/>
  <c r="K17" i="2"/>
  <c r="J4" i="2"/>
  <c r="K4" i="2" s="1"/>
  <c r="L4" i="2" s="1"/>
  <c r="M4" i="2" s="1"/>
  <c r="N4" i="2" s="1"/>
  <c r="O4" i="2" s="1"/>
  <c r="P4" i="2" s="1"/>
  <c r="Q4" i="2" s="1"/>
  <c r="R4" i="2" s="1"/>
  <c r="S4" i="2" s="1"/>
  <c r="D27" i="2"/>
  <c r="G3" i="14"/>
  <c r="H3" i="14" s="1"/>
  <c r="I3" i="14" s="1"/>
  <c r="J3" i="14" s="1"/>
  <c r="K3" i="14" s="1"/>
  <c r="L3" i="14" s="1"/>
  <c r="M3" i="14" s="1"/>
  <c r="N3" i="14" s="1"/>
  <c r="O3" i="14" s="1"/>
  <c r="P3" i="14" s="1"/>
  <c r="Q3" i="14" s="1"/>
  <c r="R3" i="14" s="1"/>
  <c r="S3" i="14" s="1"/>
  <c r="T3" i="14" s="1"/>
  <c r="U3" i="14" s="1"/>
  <c r="V3" i="14" s="1"/>
  <c r="W3" i="14" s="1"/>
  <c r="X3" i="14" s="1"/>
  <c r="Y3" i="14" s="1"/>
  <c r="Z3" i="14" s="1"/>
  <c r="AA3" i="14" s="1"/>
  <c r="AB3" i="14" s="1"/>
  <c r="B16" i="14" s="1"/>
  <c r="B14" i="14"/>
  <c r="G3" i="16"/>
  <c r="F4" i="16"/>
  <c r="J3" i="2"/>
  <c r="K3" i="2" s="1"/>
  <c r="L3" i="2" s="1"/>
  <c r="M3" i="2" s="1"/>
  <c r="N3" i="2" s="1"/>
  <c r="O3" i="2" s="1"/>
  <c r="P3" i="2" s="1"/>
  <c r="Q3" i="2" s="1"/>
  <c r="R3" i="2" s="1"/>
  <c r="S3" i="2" s="1"/>
  <c r="C27" i="2"/>
  <c r="L3" i="18"/>
  <c r="K5" i="18"/>
  <c r="G3" i="15"/>
  <c r="G5" i="15" s="1"/>
  <c r="C26" i="19" l="1"/>
  <c r="P9" i="15"/>
  <c r="O10" i="15"/>
  <c r="C28" i="2"/>
  <c r="AA4" i="15"/>
  <c r="P15" i="15"/>
  <c r="O17" i="15"/>
  <c r="H3" i="13"/>
  <c r="G5" i="13"/>
  <c r="M8" i="2"/>
  <c r="L10" i="2"/>
  <c r="B15" i="14"/>
  <c r="C17" i="7"/>
  <c r="J10" i="7"/>
  <c r="J14" i="7" s="1"/>
  <c r="J15" i="7" s="1"/>
  <c r="H3" i="15"/>
  <c r="M16" i="2"/>
  <c r="L17" i="2"/>
  <c r="T4" i="2"/>
  <c r="U4" i="2" s="1"/>
  <c r="V4" i="2" s="1"/>
  <c r="W4" i="2" s="1"/>
  <c r="X4" i="2" s="1"/>
  <c r="Y4" i="2" s="1"/>
  <c r="Z4" i="2" s="1"/>
  <c r="AA4" i="2" s="1"/>
  <c r="AB4" i="2" s="1"/>
  <c r="D28" i="2"/>
  <c r="H3" i="16"/>
  <c r="G4" i="16"/>
  <c r="T3" i="2"/>
  <c r="U3" i="2" s="1"/>
  <c r="V3" i="2" s="1"/>
  <c r="W3" i="2" s="1"/>
  <c r="X3" i="2" s="1"/>
  <c r="Y3" i="2" s="1"/>
  <c r="Z3" i="2" s="1"/>
  <c r="AA3" i="2" s="1"/>
  <c r="AB3" i="2" s="1"/>
  <c r="B17" i="14"/>
  <c r="M3" i="18"/>
  <c r="L5" i="18"/>
  <c r="Q9" i="15" l="1"/>
  <c r="P10" i="15"/>
  <c r="AB5" i="2"/>
  <c r="Q15" i="15"/>
  <c r="P17" i="15"/>
  <c r="I3" i="13"/>
  <c r="H5" i="13"/>
  <c r="B17" i="13" s="1"/>
  <c r="D17" i="13"/>
  <c r="AB4" i="15"/>
  <c r="AC4" i="15" s="1"/>
  <c r="C30" i="15"/>
  <c r="C31" i="15" s="1"/>
  <c r="N8" i="2"/>
  <c r="M10" i="2"/>
  <c r="K10" i="7"/>
  <c r="I3" i="15"/>
  <c r="I5" i="15" s="1"/>
  <c r="H5" i="15"/>
  <c r="B28" i="15"/>
  <c r="N16" i="2"/>
  <c r="M17" i="2"/>
  <c r="D29" i="2"/>
  <c r="D30" i="2" s="1"/>
  <c r="I3" i="16"/>
  <c r="H4" i="16"/>
  <c r="B15" i="16"/>
  <c r="C29" i="2"/>
  <c r="C30" i="2" s="1"/>
  <c r="N3" i="18"/>
  <c r="M5" i="18"/>
  <c r="R9" i="15" l="1"/>
  <c r="Q10" i="15"/>
  <c r="J3" i="13"/>
  <c r="I5" i="13"/>
  <c r="O8" i="2"/>
  <c r="N10" i="2"/>
  <c r="R15" i="15"/>
  <c r="Q17" i="15"/>
  <c r="K14" i="7"/>
  <c r="L10" i="7"/>
  <c r="L14" i="7" s="1"/>
  <c r="J3" i="15"/>
  <c r="K3" i="15" s="1"/>
  <c r="O16" i="2"/>
  <c r="N17" i="2"/>
  <c r="N18" i="2" s="1"/>
  <c r="I4" i="16"/>
  <c r="J3" i="16"/>
  <c r="N5" i="18"/>
  <c r="O3" i="18"/>
  <c r="S9" i="15" l="1"/>
  <c r="R10" i="15"/>
  <c r="P8" i="2"/>
  <c r="O10" i="2"/>
  <c r="K3" i="13"/>
  <c r="J5" i="13"/>
  <c r="S15" i="15"/>
  <c r="D4" i="19" s="1"/>
  <c r="R17" i="15"/>
  <c r="M10" i="7"/>
  <c r="M14" i="7" s="1"/>
  <c r="J5" i="15"/>
  <c r="L3" i="15"/>
  <c r="K5" i="15"/>
  <c r="P16" i="2"/>
  <c r="O17" i="2"/>
  <c r="K3" i="16"/>
  <c r="J4" i="16"/>
  <c r="O5" i="18"/>
  <c r="P3" i="18"/>
  <c r="AC3" i="14"/>
  <c r="AC4" i="2"/>
  <c r="AC3" i="2"/>
  <c r="D12" i="19" l="1"/>
  <c r="T9" i="15"/>
  <c r="S10" i="15"/>
  <c r="L3" i="13"/>
  <c r="K5" i="13"/>
  <c r="Q8" i="2"/>
  <c r="P10" i="2"/>
  <c r="T15" i="15"/>
  <c r="S17" i="15"/>
  <c r="S18" i="15" s="1"/>
  <c r="N10" i="7"/>
  <c r="N14" i="7" s="1"/>
  <c r="M3" i="15"/>
  <c r="L5" i="15"/>
  <c r="Q16" i="2"/>
  <c r="P17" i="2"/>
  <c r="L3" i="16"/>
  <c r="K4" i="16"/>
  <c r="P5" i="18"/>
  <c r="Q3" i="18"/>
  <c r="D26" i="19" l="1"/>
  <c r="U9" i="15"/>
  <c r="T10" i="15"/>
  <c r="R8" i="2"/>
  <c r="Q10" i="2"/>
  <c r="M3" i="13"/>
  <c r="L5" i="13"/>
  <c r="U15" i="15"/>
  <c r="T17" i="15"/>
  <c r="O10" i="7"/>
  <c r="N3" i="15"/>
  <c r="M5" i="15"/>
  <c r="R16" i="2"/>
  <c r="Q17" i="2"/>
  <c r="M3" i="16"/>
  <c r="L4" i="16"/>
  <c r="Q5" i="18"/>
  <c r="R3" i="18"/>
  <c r="AA5" i="2"/>
  <c r="V9" i="15" l="1"/>
  <c r="U10" i="15"/>
  <c r="N3" i="13"/>
  <c r="M5" i="13"/>
  <c r="S8" i="2"/>
  <c r="R10" i="2"/>
  <c r="V15" i="15"/>
  <c r="U17" i="15"/>
  <c r="P10" i="7"/>
  <c r="O14" i="7"/>
  <c r="O15" i="7" s="1"/>
  <c r="O3" i="15"/>
  <c r="N5" i="15"/>
  <c r="S16" i="2"/>
  <c r="R17" i="2"/>
  <c r="N3" i="16"/>
  <c r="M4" i="16"/>
  <c r="S3" i="18"/>
  <c r="B10" i="18" s="1"/>
  <c r="R5" i="18"/>
  <c r="B5" i="2"/>
  <c r="I5" i="2"/>
  <c r="Y5" i="2"/>
  <c r="J5" i="2"/>
  <c r="R5" i="2"/>
  <c r="Z5" i="2"/>
  <c r="K5" i="2"/>
  <c r="S5" i="2"/>
  <c r="Q5" i="2"/>
  <c r="L5" i="2"/>
  <c r="T5" i="2"/>
  <c r="E5" i="2"/>
  <c r="M5" i="2"/>
  <c r="U5" i="2"/>
  <c r="F5" i="2"/>
  <c r="N5" i="2"/>
  <c r="V5" i="2"/>
  <c r="G5" i="2"/>
  <c r="O5" i="2"/>
  <c r="W5" i="2"/>
  <c r="H5" i="2"/>
  <c r="P5" i="2"/>
  <c r="X5" i="2"/>
  <c r="W9" i="15" l="1"/>
  <c r="V10" i="15"/>
  <c r="W15" i="15"/>
  <c r="V17" i="15"/>
  <c r="T8" i="2"/>
  <c r="S10" i="2"/>
  <c r="O3" i="13"/>
  <c r="N5" i="13"/>
  <c r="Q10" i="7"/>
  <c r="P14" i="7"/>
  <c r="P3" i="15"/>
  <c r="O5" i="15"/>
  <c r="T16" i="2"/>
  <c r="S17" i="2"/>
  <c r="S18" i="2" s="1"/>
  <c r="O3" i="16"/>
  <c r="N4" i="16"/>
  <c r="E29" i="2"/>
  <c r="E27" i="2"/>
  <c r="E28" i="2"/>
  <c r="T3" i="18"/>
  <c r="S5" i="18"/>
  <c r="X9" i="15" l="1"/>
  <c r="W10" i="15"/>
  <c r="U8" i="2"/>
  <c r="T10" i="2"/>
  <c r="X15" i="15"/>
  <c r="E4" i="19" s="1"/>
  <c r="W17" i="15"/>
  <c r="P3" i="13"/>
  <c r="O5" i="13"/>
  <c r="R10" i="7"/>
  <c r="Q14" i="7"/>
  <c r="Q3" i="15"/>
  <c r="P5" i="15"/>
  <c r="U16" i="2"/>
  <c r="T17" i="2"/>
  <c r="P3" i="16"/>
  <c r="O4" i="16"/>
  <c r="E30" i="2"/>
  <c r="U3" i="18"/>
  <c r="T5" i="18"/>
  <c r="E12" i="19" l="1"/>
  <c r="Y9" i="15"/>
  <c r="X10" i="15"/>
  <c r="V8" i="2"/>
  <c r="U10" i="2"/>
  <c r="Q3" i="13"/>
  <c r="P5" i="13"/>
  <c r="Y15" i="15"/>
  <c r="X17" i="15"/>
  <c r="X18" i="15" s="1"/>
  <c r="S10" i="7"/>
  <c r="R14" i="7"/>
  <c r="R3" i="15"/>
  <c r="Q5" i="15"/>
  <c r="B29" i="15"/>
  <c r="V16" i="2"/>
  <c r="U17" i="2"/>
  <c r="Q3" i="16"/>
  <c r="P4" i="16"/>
  <c r="V3" i="18"/>
  <c r="U5" i="18"/>
  <c r="E26" i="19" l="1"/>
  <c r="Z9" i="15"/>
  <c r="Y10" i="15"/>
  <c r="R3" i="13"/>
  <c r="Q5" i="13"/>
  <c r="W8" i="2"/>
  <c r="V10" i="2"/>
  <c r="D18" i="13"/>
  <c r="Z15" i="15"/>
  <c r="Y17" i="15"/>
  <c r="T10" i="7"/>
  <c r="S14" i="7"/>
  <c r="C18" i="7" s="1"/>
  <c r="S3" i="15"/>
  <c r="R5" i="15"/>
  <c r="W16" i="2"/>
  <c r="V17" i="2"/>
  <c r="R3" i="16"/>
  <c r="Q4" i="16"/>
  <c r="B16" i="16"/>
  <c r="W3" i="18"/>
  <c r="V5" i="18"/>
  <c r="AA9" i="15" l="1"/>
  <c r="Z10" i="15"/>
  <c r="X8" i="2"/>
  <c r="W10" i="2"/>
  <c r="S3" i="13"/>
  <c r="R5" i="13"/>
  <c r="B18" i="13" s="1"/>
  <c r="AA15" i="15"/>
  <c r="Z17" i="15"/>
  <c r="T14" i="7"/>
  <c r="T15" i="7" s="1"/>
  <c r="U10" i="7"/>
  <c r="S5" i="15"/>
  <c r="T3" i="15"/>
  <c r="X16" i="2"/>
  <c r="W17" i="2"/>
  <c r="S3" i="16"/>
  <c r="R4" i="16"/>
  <c r="W5" i="18"/>
  <c r="X3" i="18"/>
  <c r="AB9" i="15" l="1"/>
  <c r="AA10" i="15"/>
  <c r="T3" i="13"/>
  <c r="S5" i="13"/>
  <c r="Y8" i="2"/>
  <c r="X10" i="2"/>
  <c r="AB15" i="15"/>
  <c r="F4" i="19" s="1"/>
  <c r="AA17" i="15"/>
  <c r="V10" i="7"/>
  <c r="U14" i="7"/>
  <c r="U3" i="15"/>
  <c r="T5" i="15"/>
  <c r="Y16" i="2"/>
  <c r="X17" i="2"/>
  <c r="X18" i="2" s="1"/>
  <c r="S4" i="16"/>
  <c r="T3" i="16"/>
  <c r="X5" i="18"/>
  <c r="Y3" i="18"/>
  <c r="F12" i="19" l="1"/>
  <c r="G4" i="19"/>
  <c r="G12" i="19" s="1"/>
  <c r="AB10" i="15"/>
  <c r="AC9" i="15"/>
  <c r="AC10" i="15" s="1"/>
  <c r="Z8" i="2"/>
  <c r="Y10" i="2"/>
  <c r="U3" i="13"/>
  <c r="T5" i="13"/>
  <c r="AB17" i="15"/>
  <c r="AB18" i="15" s="1"/>
  <c r="AC15" i="15"/>
  <c r="AC17" i="15" s="1"/>
  <c r="W10" i="7"/>
  <c r="V14" i="7"/>
  <c r="V3" i="15"/>
  <c r="U5" i="15"/>
  <c r="Z16" i="2"/>
  <c r="Y17" i="2"/>
  <c r="U3" i="16"/>
  <c r="T4" i="16"/>
  <c r="Y5" i="18"/>
  <c r="Z3" i="18"/>
  <c r="F26" i="19" l="1"/>
  <c r="G19" i="19"/>
  <c r="G26" i="19" s="1"/>
  <c r="V3" i="13"/>
  <c r="U5" i="13"/>
  <c r="AA8" i="2"/>
  <c r="Z10" i="2"/>
  <c r="X10" i="7"/>
  <c r="W14" i="7"/>
  <c r="W3" i="15"/>
  <c r="V5" i="15"/>
  <c r="AA16" i="2"/>
  <c r="Z17" i="2"/>
  <c r="V3" i="16"/>
  <c r="U4" i="16"/>
  <c r="Z5" i="18"/>
  <c r="AA3" i="18"/>
  <c r="W3" i="13" l="1"/>
  <c r="V5" i="13"/>
  <c r="AB8" i="2"/>
  <c r="AA10" i="2"/>
  <c r="Y10" i="7"/>
  <c r="X14" i="7"/>
  <c r="X3" i="15"/>
  <c r="W5" i="15"/>
  <c r="AB16" i="2"/>
  <c r="AA17" i="2"/>
  <c r="W3" i="16"/>
  <c r="V4" i="16"/>
  <c r="AB3" i="18"/>
  <c r="AA5" i="18"/>
  <c r="AB10" i="2" l="1"/>
  <c r="AC8" i="2"/>
  <c r="AC10" i="2" s="1"/>
  <c r="X3" i="13"/>
  <c r="W5" i="13"/>
  <c r="Z10" i="7"/>
  <c r="Y14" i="7"/>
  <c r="Y15" i="7" s="1"/>
  <c r="Y3" i="15"/>
  <c r="X5" i="15"/>
  <c r="AB17" i="2"/>
  <c r="AB18" i="2" s="1"/>
  <c r="AC16" i="2"/>
  <c r="AC17" i="2" s="1"/>
  <c r="X3" i="16"/>
  <c r="W4" i="16"/>
  <c r="AC3" i="18"/>
  <c r="AB5" i="18"/>
  <c r="Y3" i="13" l="1"/>
  <c r="X5" i="13"/>
  <c r="AA10" i="7"/>
  <c r="Z14" i="7"/>
  <c r="Z3" i="15"/>
  <c r="Y5" i="15"/>
  <c r="Y3" i="16"/>
  <c r="X4" i="16"/>
  <c r="AD3" i="18"/>
  <c r="AD5" i="18" s="1"/>
  <c r="B11" i="18"/>
  <c r="B12" i="18" s="1"/>
  <c r="Z3" i="13" l="1"/>
  <c r="Y5" i="13"/>
  <c r="AB10" i="7"/>
  <c r="AA14" i="7"/>
  <c r="AA3" i="15"/>
  <c r="Z5" i="15"/>
  <c r="Z3" i="16"/>
  <c r="Y4" i="16"/>
  <c r="AA3" i="13" l="1"/>
  <c r="Z5" i="13"/>
  <c r="AC10" i="7"/>
  <c r="AB14" i="7"/>
  <c r="AB3" i="15"/>
  <c r="AA5" i="15"/>
  <c r="B30" i="15"/>
  <c r="B31" i="15" s="1"/>
  <c r="AA3" i="16"/>
  <c r="Z4" i="16"/>
  <c r="AB3" i="13" l="1"/>
  <c r="AA5" i="13"/>
  <c r="B19" i="13"/>
  <c r="B20" i="13" s="1"/>
  <c r="D19" i="13"/>
  <c r="D20" i="13" s="1"/>
  <c r="AC14" i="7"/>
  <c r="AD14" i="7" s="1"/>
  <c r="AB5" i="15"/>
  <c r="AC5" i="15" s="1"/>
  <c r="AC3" i="15"/>
  <c r="AB3" i="16"/>
  <c r="AA4" i="16"/>
  <c r="B17" i="16"/>
  <c r="B18" i="16" s="1"/>
  <c r="AB5" i="13" l="1"/>
  <c r="AC3" i="13"/>
  <c r="AC5" i="13" s="1"/>
  <c r="AC15" i="7"/>
  <c r="C19" i="7"/>
  <c r="C20" i="7" s="1"/>
  <c r="AB4" i="16"/>
  <c r="AC4" i="16" s="1"/>
  <c r="AC3" i="16"/>
  <c r="AC5" i="2" l="1"/>
</calcChain>
</file>

<file path=xl/sharedStrings.xml><?xml version="1.0" encoding="utf-8"?>
<sst xmlns="http://schemas.openxmlformats.org/spreadsheetml/2006/main" count="420" uniqueCount="149">
  <si>
    <t xml:space="preserve">FY 2021 </t>
  </si>
  <si>
    <t xml:space="preserve">FY 2022 </t>
  </si>
  <si>
    <t xml:space="preserve">FY 2023 </t>
  </si>
  <si>
    <t xml:space="preserve">FY 2024 </t>
  </si>
  <si>
    <t xml:space="preserve">FY 2025 </t>
  </si>
  <si>
    <t xml:space="preserve">FY 2026 </t>
  </si>
  <si>
    <t>FY 2027</t>
  </si>
  <si>
    <t xml:space="preserve">FY 2028 </t>
  </si>
  <si>
    <t xml:space="preserve">FY 2029 </t>
  </si>
  <si>
    <t xml:space="preserve">FY 2030 </t>
  </si>
  <si>
    <t xml:space="preserve">Totals </t>
  </si>
  <si>
    <t>FY 2031</t>
  </si>
  <si>
    <t xml:space="preserve">FY 2032 </t>
  </si>
  <si>
    <t xml:space="preserve">FY 2033 </t>
  </si>
  <si>
    <t xml:space="preserve">FY 2034 </t>
  </si>
  <si>
    <t xml:space="preserve">FY 2035 </t>
  </si>
  <si>
    <t xml:space="preserve">FY 2036 </t>
  </si>
  <si>
    <t xml:space="preserve">FY 2037 </t>
  </si>
  <si>
    <t xml:space="preserve">FY 2038 </t>
  </si>
  <si>
    <t xml:space="preserve">FY 2039 </t>
  </si>
  <si>
    <t xml:space="preserve">FY 2040 </t>
  </si>
  <si>
    <t xml:space="preserve">FY 2016 </t>
  </si>
  <si>
    <t xml:space="preserve">FY 2020 </t>
  </si>
  <si>
    <t xml:space="preserve">FY 2021  </t>
  </si>
  <si>
    <t xml:space="preserve">FY 2022  </t>
  </si>
  <si>
    <t xml:space="preserve">FY 2023  </t>
  </si>
  <si>
    <t xml:space="preserve">FY 2019 </t>
  </si>
  <si>
    <t xml:space="preserve">FY 2018 </t>
  </si>
  <si>
    <t xml:space="preserve">FY 2017 </t>
  </si>
  <si>
    <t xml:space="preserve">FY 2015 </t>
  </si>
  <si>
    <t xml:space="preserve">Highway User Revenue Fund Revenues (1) </t>
  </si>
  <si>
    <t xml:space="preserve">Surface Transportation Program </t>
  </si>
  <si>
    <t>Highway Safety Improvement Program (HSIP)</t>
  </si>
  <si>
    <t>City Road Tax (2)</t>
  </si>
  <si>
    <t>Totals of FY estimates 2018-2041</t>
  </si>
  <si>
    <t>FY 2041</t>
  </si>
  <si>
    <t xml:space="preserve">FY 2041 </t>
  </si>
  <si>
    <t xml:space="preserve">Maintenance and Operations </t>
  </si>
  <si>
    <t xml:space="preserve">FY 2032-2041 </t>
  </si>
  <si>
    <t xml:space="preserve">FY 2022-2031 </t>
  </si>
  <si>
    <t>FY 2018-2021</t>
  </si>
  <si>
    <t xml:space="preserve">Total </t>
  </si>
  <si>
    <t xml:space="preserve">City Road Tax </t>
  </si>
  <si>
    <t xml:space="preserve">Bridge </t>
  </si>
  <si>
    <t>State STP</t>
  </si>
  <si>
    <t>FY 2018 TIP</t>
  </si>
  <si>
    <t xml:space="preserve">Total Revenues, FY 2018-2041 </t>
  </si>
  <si>
    <t>Transportation Alternatives (Enhancements)</t>
  </si>
  <si>
    <t>Total</t>
  </si>
  <si>
    <t>Rounded Total</t>
  </si>
  <si>
    <t>FY 2025</t>
  </si>
  <si>
    <t xml:space="preserve">FY 2027 </t>
  </si>
  <si>
    <t>FY 2029</t>
  </si>
  <si>
    <t>FY 2030</t>
  </si>
  <si>
    <t>FY 2034</t>
  </si>
  <si>
    <t>FY 2036</t>
  </si>
  <si>
    <t>FY 2038</t>
  </si>
  <si>
    <t xml:space="preserve">HURF </t>
  </si>
  <si>
    <t xml:space="preserve">Revenues for capital Improvements </t>
  </si>
  <si>
    <t>2) Source: YMPO Transportation Improvement Program, Amendment 9, for fiscal years 2016-2019</t>
  </si>
  <si>
    <t>FY 2015 (1)</t>
  </si>
  <si>
    <t xml:space="preserve">Highway User Revenue Fund Revenues </t>
  </si>
  <si>
    <r>
      <t xml:space="preserve">Note: HURF revenues estimated by applying a 3.5% annual growth factor per the </t>
    </r>
    <r>
      <rPr>
        <i/>
        <sz val="10"/>
        <color theme="1"/>
        <rFont val="Calibri"/>
        <family val="2"/>
        <scheme val="minor"/>
      </rPr>
      <t>Arizona Highway User Revenue Fund Forecasting Process and Results, FY 2016-FY 2025</t>
    </r>
  </si>
  <si>
    <r>
      <t xml:space="preserve">2) Source: </t>
    </r>
    <r>
      <rPr>
        <i/>
        <sz val="10"/>
        <color theme="1"/>
        <rFont val="Calibri"/>
        <family val="2"/>
        <scheme val="minor"/>
      </rPr>
      <t>YMPO Transportation Improvement Program, Amendment 9</t>
    </r>
    <r>
      <rPr>
        <sz val="10"/>
        <color theme="1"/>
        <rFont val="Calibri"/>
        <family val="2"/>
        <scheme val="minor"/>
      </rPr>
      <t>, for fiscal years 2016-2019</t>
    </r>
  </si>
  <si>
    <t xml:space="preserve">1)Source: ADOT Office of Financial Planning FY 2015 HURF Distribution to Cities and Counties. The HURF revenue estimate was projected by using a 3.5% per year growth factor based on the growth factor in the Highway User Revenue Fund Forecasting Process and Results  FY 2016-2025. </t>
  </si>
  <si>
    <t xml:space="preserve">Town of Wellton Transportation  Revenue Projections </t>
  </si>
  <si>
    <t>Projected TIP Maintenance Expenditures (2)</t>
  </si>
  <si>
    <t xml:space="preserve">HURF funds assumed  for Maintenance and Operations </t>
  </si>
  <si>
    <t xml:space="preserve">Projected Maintenance Expenditures from TIP (2) </t>
  </si>
  <si>
    <t>HURF Funds assumed for capital projects (3)</t>
  </si>
  <si>
    <t>HURF Funds available for capital projects (3)</t>
  </si>
  <si>
    <t xml:space="preserve">3) This is based on 2014-2037 RTP assumption that all HURF funds would be used for maintenance and operations </t>
  </si>
  <si>
    <t xml:space="preserve">City of Somerton Transportation  Revenue Projections </t>
  </si>
  <si>
    <t xml:space="preserve">City of San Luis Transportation  Revenue Projections </t>
  </si>
  <si>
    <t xml:space="preserve">HURF funds assumed  for Maintenance and Operations (4) </t>
  </si>
  <si>
    <t>4) Based on Information from Joe Grant, phone call of 5/25/2016</t>
  </si>
  <si>
    <t>Total Available HURF Revenues by time period for Operations and Maintenance</t>
  </si>
  <si>
    <t xml:space="preserve">No capital projects planned at this time. </t>
  </si>
  <si>
    <t xml:space="preserve">1) Source: ADOT Office of Financial Planning FY 2015 HURF Distribution to Cities and Counties. The HURF revenue estimate was projected by using a 3.5% per year growth factor based on the growth factor in the Highway User Revenue Fund Forecasting Process and Results  FY 2016-2025. </t>
  </si>
  <si>
    <t>Total HURF Revenues by time period for operations and maintenance</t>
  </si>
  <si>
    <r>
      <t xml:space="preserve">1) Source: ADOT Office of Financial Planning, </t>
    </r>
    <r>
      <rPr>
        <i/>
        <sz val="10"/>
        <color theme="1"/>
        <rFont val="Calibri"/>
        <family val="2"/>
        <scheme val="minor"/>
      </rPr>
      <t>FY 2015 HURF Distribution to Cities and Counties</t>
    </r>
  </si>
  <si>
    <t xml:space="preserve">City of Yuma Transportation  Revenue Projections </t>
  </si>
  <si>
    <t xml:space="preserve">2) City of Yuma Comprehensive Annual Financial Report , fiscal year ending June 30, 2015, page 119 . The revenue estimate was projected by using a 3.5% per year growth factor. </t>
  </si>
  <si>
    <t>HURF Funds assumed for Maintenance and Operations (3)</t>
  </si>
  <si>
    <t>City Road Tax funds assumed for Maintence and Operations (4)</t>
  </si>
  <si>
    <t xml:space="preserve">4) Assume $1,109,818 of FY 2015 road tax  revenues were used for mainteence and operations ( based on costs contained in City of Yuma Comprehensive Annual Financial Report for the year ending June 30th, 2015, page 74, street maintenance costs. The forecasts used a 3.5% per year growth factor . </t>
  </si>
  <si>
    <t xml:space="preserve">Maintenance and Operations Revenues </t>
  </si>
  <si>
    <t xml:space="preserve">Potential capital cost revenues </t>
  </si>
  <si>
    <t xml:space="preserve">from HURF (5) </t>
  </si>
  <si>
    <t xml:space="preserve">5) Assume all HURF funds are used for operations and maintenance, based on City of Yuma Comprehensive Annual Financial Report for the year ending June 30th, 2015, page 82 .  </t>
  </si>
  <si>
    <t>from City Road Tax Funds (6)</t>
  </si>
  <si>
    <t>6) City of Yuma Comprehensive Annual Financial Report , fiscal year ending June 30, 2015, page 74. This is based on the budget for capital projects  for streets</t>
  </si>
  <si>
    <t>Projected TIP Maintenance Expenditures (7)</t>
  </si>
  <si>
    <t xml:space="preserve">Yuma County Transportation  Revenue Projections </t>
  </si>
  <si>
    <t xml:space="preserve">Vehicle License Tax </t>
  </si>
  <si>
    <t>7) Source: YMPO Transportation Improvement Program, Amendment 9, for fiscal years 2016-2019</t>
  </si>
  <si>
    <t>Vehicle License Tax Funds available for maintence and operations (4)</t>
  </si>
  <si>
    <t>Projected TIP Maintenance Expenditures (5)</t>
  </si>
  <si>
    <t>Totals</t>
  </si>
  <si>
    <t>HURF funds assumed for capital costs (6)</t>
  </si>
  <si>
    <t>Vehicle license tax funds assumed for capital costs (7)</t>
  </si>
  <si>
    <t xml:space="preserve">5) Source: YMPO Transportation Improvement Program, Amendment 9, for fiscal years 2016-2019 </t>
  </si>
  <si>
    <t>Vehicle License Tax (Auto in Lieu of Tax) (2)</t>
  </si>
  <si>
    <t>2) Source: Yuma County Comprehensive Annual Financial Report for fiscal year ending June 30, 2015, page 20.</t>
  </si>
  <si>
    <t xml:space="preserve">Developer Revenues (1) </t>
  </si>
  <si>
    <t>FY 2014</t>
  </si>
  <si>
    <t>FY 2016</t>
  </si>
  <si>
    <t xml:space="preserve">Average </t>
  </si>
  <si>
    <t xml:space="preserve">Time Period </t>
  </si>
  <si>
    <t>Revenues</t>
  </si>
  <si>
    <t xml:space="preserve">Revenues </t>
  </si>
  <si>
    <t xml:space="preserve">Total HURF Revenues </t>
  </si>
  <si>
    <t xml:space="preserve">Averages from YMPO TIP 2014-2018 Amendment 9 - Federal Funds </t>
  </si>
  <si>
    <t xml:space="preserve">Maintence and operations costs </t>
  </si>
  <si>
    <t xml:space="preserve">ADOT Projects in the YMPO region - based on information in YMPO FY 2014-2018 TIP, Amendment 9 </t>
  </si>
  <si>
    <t>Developer Revenues for Capital Improvements</t>
  </si>
  <si>
    <t xml:space="preserve">1)Source: Assumption from YMPO 2014-2037 RTP . The projection is increased by 3.5% per year. </t>
  </si>
  <si>
    <t>Average per year over  period FY 2014-2018 (based on averages computed in table  below)</t>
  </si>
  <si>
    <t xml:space="preserve">3) This is based on YMPO 2014-2037 Regional Transportation Plan assumption that all HURF funds would be used for maintenance and operations </t>
  </si>
  <si>
    <t xml:space="preserve">3) Assume  HURF funds  used for operations and maintenance, are based on City of Yuma Comprehensive Annual Financial Report for the year ending June 30th, 2015, page 82 (expenditures for streets).  The forecasts used a 3.5% per year growth factor. </t>
  </si>
  <si>
    <t xml:space="preserve">Source </t>
  </si>
  <si>
    <t>2018-2022</t>
  </si>
  <si>
    <t>2023-2027</t>
  </si>
  <si>
    <t>2028-2032</t>
  </si>
  <si>
    <t>2033-2037</t>
  </si>
  <si>
    <t>2038-2041</t>
  </si>
  <si>
    <t xml:space="preserve">Total, 2018-2041 </t>
  </si>
  <si>
    <t xml:space="preserve">Yuma County HURF </t>
  </si>
  <si>
    <t xml:space="preserve">City of Yuma Road Tax </t>
  </si>
  <si>
    <t xml:space="preserve">Developer Participation </t>
  </si>
  <si>
    <t xml:space="preserve">Revenues for Capital Improvements </t>
  </si>
  <si>
    <t xml:space="preserve">Assume this program not going forward </t>
  </si>
  <si>
    <t xml:space="preserve">Capital Revenues  (used actual TIP amounts for FY 2018, and used average values (computed below) for FY 2019. Other years were estimated using a 3.5% growth factor ) </t>
  </si>
  <si>
    <t>Federal Funds (STP)</t>
  </si>
  <si>
    <t xml:space="preserve">Federal (Bridge) </t>
  </si>
  <si>
    <t xml:space="preserve">Federal (HSIP) </t>
  </si>
  <si>
    <t xml:space="preserve">Revenues for Maintenance and Operations </t>
  </si>
  <si>
    <t xml:space="preserve">ADOT HURF/Gas Tax </t>
  </si>
  <si>
    <t xml:space="preserve">City of Yuma HURF </t>
  </si>
  <si>
    <t xml:space="preserve">City of San Luis HURF </t>
  </si>
  <si>
    <t xml:space="preserve">City of Somerton HURF </t>
  </si>
  <si>
    <t xml:space="preserve">Town of Wellton HURF </t>
  </si>
  <si>
    <t>Estimated Revenues($)</t>
  </si>
  <si>
    <t xml:space="preserve">4) Assumption is for FY17 we are estimating $1.1 M VLT for maintenance and operation; it is increased by 3.5% per year </t>
  </si>
  <si>
    <t xml:space="preserve">7) Assumption is for FY17, Yuma County is allocating $1.1 M VLT for CIP transportation projects; it is increased by 3.5% per year </t>
  </si>
  <si>
    <t xml:space="preserve">6)Assumption is for FY17, Yuma County is allocating $1.5 M HURF for CIP transportation projects.  The State legislature the last couple of FY’s has reduced the “HURF swap”, or allocated additional HURF funds to local entities.  Yuma County considers these additional  allocations as a one time appropriation and have dedicated  the additional funding to roadway maintenance; it is increased by 3.5% per year </t>
  </si>
  <si>
    <t xml:space="preserve">3)Assumption is for FY 17, Yuma County is estimating $6.2M from HURF for maintenance and operations.; it is increased by 3.5% per year </t>
  </si>
  <si>
    <t xml:space="preserve">Yuma County VLT </t>
  </si>
  <si>
    <t>Federal (Transportation Alternatives)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</si>
</sst>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164" formatCode="&quot;$&quot;#,##0"/>
    <numFmt numFmtId="165" formatCode="&quot;$&quot;#,##0.0"/>
    <numFmt numFmtId="166" formatCode="&quot;$&quot;#,##0.00"/>
  </numFmts>
  <fonts count="16" x14ac:knownFonts="1">
    <font>
      <sz val="11"/>
      <color theme="1"/>
      <name val="Calibri"/>
      <family val="2"/>
      <scheme val="minor"/>
    </font>
    <font>
      <b/>
      <sz val="8"/>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sz val="8"/>
      <color theme="1"/>
      <name val="Symbol"/>
      <family val="1"/>
      <charset val="2"/>
    </font>
    <font>
      <u/>
      <sz val="8"/>
      <color theme="1"/>
      <name val="Calibri"/>
      <family val="2"/>
      <scheme val="minor"/>
    </font>
    <font>
      <sz val="8"/>
      <color theme="1"/>
      <name val="Arial"/>
      <family val="2"/>
    </font>
    <font>
      <b/>
      <u/>
      <sz val="9"/>
      <color theme="1"/>
      <name val="Calibri"/>
      <family val="2"/>
      <scheme val="minor"/>
    </font>
    <font>
      <i/>
      <sz val="10"/>
      <color theme="1"/>
      <name val="Calibri"/>
      <family val="2"/>
      <scheme val="minor"/>
    </font>
    <font>
      <b/>
      <sz val="10"/>
      <color theme="1"/>
      <name val="Calibri"/>
      <family val="2"/>
      <scheme val="minor"/>
    </font>
    <font>
      <u/>
      <sz val="9"/>
      <color theme="1"/>
      <name val="Calibri"/>
      <family val="2"/>
      <scheme val="minor"/>
    </font>
    <font>
      <b/>
      <sz val="9"/>
      <color theme="1"/>
      <name val="Arial"/>
      <family val="2"/>
    </font>
    <font>
      <sz val="9"/>
      <color theme="1"/>
      <name val="Arial"/>
      <family val="2"/>
    </font>
    <font>
      <b/>
      <sz val="10"/>
      <color theme="1"/>
      <name val="Arial"/>
      <family val="2"/>
    </font>
  </fonts>
  <fills count="3">
    <fill>
      <patternFill patternType="none"/>
    </fill>
    <fill>
      <patternFill patternType="gray125"/>
    </fill>
    <fill>
      <patternFill patternType="solid">
        <fgColor theme="0" tint="-0.2499465926084170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2" fontId="1" fillId="0" borderId="1" xfId="0" applyNumberFormat="1" applyFont="1" applyFill="1" applyBorder="1" applyAlignment="1">
      <alignment wrapText="1"/>
    </xf>
    <xf numFmtId="0" fontId="3" fillId="0" borderId="0" xfId="0" applyFont="1"/>
    <xf numFmtId="0" fontId="2" fillId="0" borderId="0" xfId="0" applyFont="1"/>
    <xf numFmtId="2" fontId="3" fillId="0" borderId="1" xfId="0" applyNumberFormat="1" applyFont="1" applyBorder="1" applyAlignment="1">
      <alignment wrapText="1"/>
    </xf>
    <xf numFmtId="0" fontId="3" fillId="0" borderId="1" xfId="0" applyFont="1" applyBorder="1"/>
    <xf numFmtId="0" fontId="3" fillId="0" borderId="1" xfId="0" applyFont="1" applyBorder="1" applyAlignment="1">
      <alignment wrapText="1"/>
    </xf>
    <xf numFmtId="2" fontId="4" fillId="0" borderId="1" xfId="0" applyNumberFormat="1" applyFont="1" applyBorder="1" applyAlignment="1">
      <alignment horizontal="center" wrapText="1"/>
    </xf>
    <xf numFmtId="2" fontId="4" fillId="0" borderId="2" xfId="0" applyNumberFormat="1" applyFont="1" applyBorder="1" applyAlignment="1">
      <alignment horizontal="center" wrapText="1"/>
    </xf>
    <xf numFmtId="2" fontId="1" fillId="0" borderId="1" xfId="0" applyNumberFormat="1" applyFont="1" applyBorder="1" applyAlignment="1">
      <alignment horizontal="center" wrapText="1"/>
    </xf>
    <xf numFmtId="2" fontId="1" fillId="0" borderId="1" xfId="0" applyNumberFormat="1" applyFont="1" applyFill="1" applyBorder="1" applyAlignment="1">
      <alignment horizontal="center" wrapText="1"/>
    </xf>
    <xf numFmtId="44" fontId="3" fillId="0" borderId="1" xfId="0" applyNumberFormat="1" applyFont="1" applyBorder="1"/>
    <xf numFmtId="2" fontId="4" fillId="0" borderId="1" xfId="0" applyNumberFormat="1" applyFont="1" applyFill="1" applyBorder="1" applyAlignment="1">
      <alignment horizontal="center" wrapText="1"/>
    </xf>
    <xf numFmtId="0" fontId="3" fillId="0" borderId="3" xfId="0" applyFont="1" applyFill="1" applyBorder="1"/>
    <xf numFmtId="3" fontId="3" fillId="0" borderId="0" xfId="0" applyNumberFormat="1" applyFont="1"/>
    <xf numFmtId="0" fontId="5" fillId="0" borderId="0" xfId="0" applyFont="1"/>
    <xf numFmtId="0" fontId="3" fillId="0" borderId="2" xfId="0" applyFont="1" applyBorder="1"/>
    <xf numFmtId="164" fontId="3" fillId="0" borderId="1" xfId="0" applyNumberFormat="1" applyFont="1" applyBorder="1"/>
    <xf numFmtId="164" fontId="4" fillId="0" borderId="1" xfId="0" applyNumberFormat="1" applyFont="1" applyBorder="1"/>
    <xf numFmtId="0" fontId="3" fillId="0" borderId="0" xfId="0" applyFont="1" applyBorder="1" applyAlignment="1">
      <alignment wrapText="1"/>
    </xf>
    <xf numFmtId="164" fontId="4" fillId="0" borderId="0" xfId="0" applyNumberFormat="1" applyFont="1" applyBorder="1"/>
    <xf numFmtId="3" fontId="3" fillId="0" borderId="1" xfId="0" applyNumberFormat="1" applyFont="1" applyBorder="1"/>
    <xf numFmtId="3" fontId="4" fillId="0" borderId="0" xfId="0" applyNumberFormat="1" applyFont="1"/>
    <xf numFmtId="0" fontId="7" fillId="0" borderId="0" xfId="0" applyFont="1" applyAlignment="1">
      <alignment vertical="center"/>
    </xf>
    <xf numFmtId="2" fontId="4" fillId="0" borderId="2" xfId="0" applyNumberFormat="1" applyFont="1" applyBorder="1" applyAlignment="1">
      <alignment wrapText="1"/>
    </xf>
    <xf numFmtId="164" fontId="0" fillId="0" borderId="0" xfId="0" applyNumberFormat="1"/>
    <xf numFmtId="0" fontId="4" fillId="0" borderId="0" xfId="0" applyFont="1"/>
    <xf numFmtId="2" fontId="4" fillId="0" borderId="1" xfId="0" applyNumberFormat="1" applyFont="1" applyBorder="1" applyAlignment="1">
      <alignment wrapText="1"/>
    </xf>
    <xf numFmtId="0" fontId="4" fillId="0" borderId="1" xfId="0" applyFont="1" applyBorder="1"/>
    <xf numFmtId="0" fontId="0" fillId="0" borderId="1" xfId="0" applyBorder="1"/>
    <xf numFmtId="164" fontId="4" fillId="0" borderId="1" xfId="0" applyNumberFormat="1" applyFont="1" applyBorder="1" applyAlignment="1">
      <alignment wrapText="1"/>
    </xf>
    <xf numFmtId="164" fontId="3" fillId="0" borderId="0" xfId="0" applyNumberFormat="1" applyFont="1"/>
    <xf numFmtId="164" fontId="3" fillId="2" borderId="1" xfId="0" applyNumberFormat="1" applyFont="1" applyFill="1" applyBorder="1"/>
    <xf numFmtId="0" fontId="3" fillId="0" borderId="0" xfId="0" applyFont="1" applyAlignment="1">
      <alignment horizontal="left" vertical="center" indent="5"/>
    </xf>
    <xf numFmtId="165" fontId="3" fillId="0" borderId="1" xfId="0" applyNumberFormat="1" applyFont="1" applyBorder="1"/>
    <xf numFmtId="0" fontId="9" fillId="0" borderId="0" xfId="0" applyFont="1"/>
    <xf numFmtId="0" fontId="3" fillId="0" borderId="4" xfId="0" applyFont="1" applyBorder="1"/>
    <xf numFmtId="164" fontId="3" fillId="0" borderId="0" xfId="0" applyNumberFormat="1" applyFont="1" applyBorder="1"/>
    <xf numFmtId="0" fontId="4" fillId="0" borderId="1" xfId="0" applyFont="1" applyBorder="1" applyAlignment="1">
      <alignment wrapText="1"/>
    </xf>
    <xf numFmtId="0" fontId="4" fillId="0" borderId="2" xfId="0" applyFont="1" applyBorder="1"/>
    <xf numFmtId="164" fontId="4" fillId="0" borderId="0" xfId="0" applyNumberFormat="1" applyFont="1"/>
    <xf numFmtId="0" fontId="4" fillId="0" borderId="5" xfId="0" applyFont="1" applyFill="1" applyBorder="1"/>
    <xf numFmtId="0" fontId="11" fillId="0" borderId="0" xfId="0" applyFont="1"/>
    <xf numFmtId="0" fontId="4" fillId="0" borderId="0" xfId="0" applyFont="1" applyFill="1" applyBorder="1"/>
    <xf numFmtId="0" fontId="3" fillId="0" borderId="6" xfId="0" applyFont="1" applyBorder="1"/>
    <xf numFmtId="0" fontId="3" fillId="0" borderId="5" xfId="0" applyFont="1" applyBorder="1"/>
    <xf numFmtId="164" fontId="3" fillId="0" borderId="6" xfId="0" applyNumberFormat="1" applyFont="1" applyBorder="1"/>
    <xf numFmtId="164" fontId="3" fillId="0" borderId="5" xfId="0" applyNumberFormat="1" applyFont="1" applyBorder="1"/>
    <xf numFmtId="164" fontId="4" fillId="0" borderId="6" xfId="0" applyNumberFormat="1" applyFont="1" applyBorder="1"/>
    <xf numFmtId="164" fontId="4" fillId="0" borderId="5" xfId="0" applyNumberFormat="1" applyFont="1" applyBorder="1"/>
    <xf numFmtId="0" fontId="4" fillId="0" borderId="6" xfId="0" applyFont="1" applyBorder="1"/>
    <xf numFmtId="0" fontId="9" fillId="0" borderId="0" xfId="0" applyFont="1" applyAlignment="1">
      <alignment horizontal="center"/>
    </xf>
    <xf numFmtId="0" fontId="3" fillId="0" borderId="0" xfId="0" applyFont="1" applyFill="1" applyBorder="1"/>
    <xf numFmtId="0" fontId="4" fillId="0" borderId="1" xfId="0" applyFont="1" applyFill="1" applyBorder="1"/>
    <xf numFmtId="3" fontId="4" fillId="0" borderId="1" xfId="0" applyNumberFormat="1" applyFont="1" applyBorder="1"/>
    <xf numFmtId="0" fontId="3" fillId="0" borderId="0" xfId="0" applyFont="1" applyBorder="1"/>
    <xf numFmtId="0" fontId="4" fillId="0" borderId="0" xfId="0" applyFont="1" applyBorder="1"/>
    <xf numFmtId="0" fontId="0" fillId="0" borderId="0" xfId="0" applyBorder="1"/>
    <xf numFmtId="0" fontId="4" fillId="0" borderId="6" xfId="0" applyFont="1" applyFill="1" applyBorder="1"/>
    <xf numFmtId="0" fontId="4" fillId="0" borderId="4" xfId="0" applyFont="1" applyBorder="1"/>
    <xf numFmtId="3" fontId="8" fillId="0" borderId="0" xfId="0" applyNumberFormat="1" applyFont="1" applyBorder="1"/>
    <xf numFmtId="3" fontId="3" fillId="0" borderId="0" xfId="0" applyNumberFormat="1" applyFont="1" applyBorder="1"/>
    <xf numFmtId="0" fontId="12" fillId="0" borderId="0" xfId="0" applyFont="1" applyAlignment="1">
      <alignment vertical="center"/>
    </xf>
    <xf numFmtId="0" fontId="3" fillId="0" borderId="0" xfId="0" applyFont="1" applyAlignment="1">
      <alignment vertical="center"/>
    </xf>
    <xf numFmtId="0" fontId="6" fillId="0" borderId="1" xfId="0" applyFont="1" applyBorder="1" applyAlignment="1">
      <alignment horizontal="left" vertical="center" indent="5"/>
    </xf>
    <xf numFmtId="166" fontId="3" fillId="0" borderId="1" xfId="0" applyNumberFormat="1" applyFont="1" applyBorder="1"/>
    <xf numFmtId="0" fontId="4" fillId="0" borderId="1" xfId="0" applyFont="1" applyBorder="1" applyAlignment="1">
      <alignment horizontal="left" vertical="center" indent="5"/>
    </xf>
    <xf numFmtId="0" fontId="4" fillId="2" borderId="1" xfId="0" applyFont="1" applyFill="1" applyBorder="1"/>
    <xf numFmtId="164" fontId="3" fillId="0" borderId="2" xfId="0" applyNumberFormat="1" applyFont="1" applyBorder="1" applyAlignment="1">
      <alignment wrapText="1"/>
    </xf>
    <xf numFmtId="164" fontId="3" fillId="0" borderId="1" xfId="0" applyNumberFormat="1" applyFont="1" applyBorder="1" applyAlignment="1">
      <alignment wrapText="1"/>
    </xf>
    <xf numFmtId="166" fontId="3" fillId="0" borderId="0" xfId="0" applyNumberFormat="1" applyFont="1"/>
    <xf numFmtId="166" fontId="4" fillId="0" borderId="1" xfId="0" applyNumberFormat="1" applyFont="1" applyBorder="1"/>
    <xf numFmtId="0" fontId="4" fillId="0" borderId="1" xfId="0" applyFont="1" applyBorder="1" applyAlignment="1">
      <alignment horizontal="left" vertical="top" wrapText="1"/>
    </xf>
    <xf numFmtId="0" fontId="4" fillId="0" borderId="0" xfId="0" applyFont="1" applyAlignment="1">
      <alignment horizontal="left" vertical="center"/>
    </xf>
    <xf numFmtId="0" fontId="3" fillId="0" borderId="1" xfId="0" applyFont="1" applyBorder="1" applyAlignment="1">
      <alignment vertical="center"/>
    </xf>
    <xf numFmtId="0" fontId="12" fillId="0" borderId="1" xfId="0" applyFont="1" applyBorder="1" applyAlignment="1">
      <alignment vertical="center"/>
    </xf>
    <xf numFmtId="6" fontId="3" fillId="0" borderId="1" xfId="0" applyNumberFormat="1" applyFont="1" applyBorder="1"/>
    <xf numFmtId="165" fontId="3" fillId="0" borderId="0" xfId="0" applyNumberFormat="1" applyFont="1"/>
    <xf numFmtId="0" fontId="13" fillId="0" borderId="7"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4" fillId="0" borderId="10" xfId="0" applyFont="1" applyBorder="1" applyAlignment="1">
      <alignment vertical="center" wrapText="1"/>
    </xf>
    <xf numFmtId="164" fontId="14" fillId="0" borderId="11" xfId="0" applyNumberFormat="1" applyFont="1" applyBorder="1" applyAlignment="1">
      <alignment vertical="center" wrapText="1"/>
    </xf>
    <xf numFmtId="164" fontId="13" fillId="0" borderId="11" xfId="0" applyNumberFormat="1" applyFont="1" applyBorder="1" applyAlignment="1">
      <alignment vertical="center" wrapText="1"/>
    </xf>
    <xf numFmtId="0" fontId="15" fillId="0" borderId="10" xfId="0" applyFont="1" applyBorder="1" applyAlignment="1">
      <alignment vertical="center" wrapText="1"/>
    </xf>
    <xf numFmtId="0" fontId="15" fillId="0" borderId="0" xfId="0" applyFont="1"/>
    <xf numFmtId="0" fontId="13" fillId="0" borderId="9" xfId="0" applyFont="1" applyBorder="1" applyAlignment="1">
      <alignment vertical="center" wrapText="1"/>
    </xf>
    <xf numFmtId="0" fontId="13" fillId="0" borderId="8"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topLeftCell="Q1" zoomScaleNormal="100" workbookViewId="0">
      <selection activeCell="B3" sqref="B3"/>
    </sheetView>
  </sheetViews>
  <sheetFormatPr defaultRowHeight="14.4" x14ac:dyDescent="0.3"/>
  <cols>
    <col min="1" max="1" width="34.44140625" customWidth="1"/>
    <col min="2" max="29" width="12.6640625" customWidth="1"/>
  </cols>
  <sheetData>
    <row r="1" spans="1:29" x14ac:dyDescent="0.3">
      <c r="A1" s="3" t="s">
        <v>73</v>
      </c>
    </row>
    <row r="2" spans="1:29" ht="46.5" customHeight="1" x14ac:dyDescent="0.3">
      <c r="A2" s="4"/>
      <c r="B2" s="7" t="s">
        <v>60</v>
      </c>
      <c r="C2" s="7" t="s">
        <v>21</v>
      </c>
      <c r="D2" s="7" t="s">
        <v>28</v>
      </c>
      <c r="E2" s="7" t="s">
        <v>27</v>
      </c>
      <c r="F2" s="7" t="s">
        <v>26</v>
      </c>
      <c r="G2" s="7" t="s">
        <v>22</v>
      </c>
      <c r="H2" s="7" t="s">
        <v>23</v>
      </c>
      <c r="I2" s="7" t="s">
        <v>24</v>
      </c>
      <c r="J2" s="7" t="s">
        <v>25</v>
      </c>
      <c r="K2" s="7" t="s">
        <v>3</v>
      </c>
      <c r="L2" s="7" t="s">
        <v>4</v>
      </c>
      <c r="M2" s="7" t="s">
        <v>5</v>
      </c>
      <c r="N2" s="7" t="s">
        <v>6</v>
      </c>
      <c r="O2" s="7" t="s">
        <v>7</v>
      </c>
      <c r="P2" s="7" t="s">
        <v>8</v>
      </c>
      <c r="Q2" s="7" t="s">
        <v>9</v>
      </c>
      <c r="R2" s="12" t="s">
        <v>11</v>
      </c>
      <c r="S2" s="12" t="s">
        <v>12</v>
      </c>
      <c r="T2" s="12" t="s">
        <v>13</v>
      </c>
      <c r="U2" s="12" t="s">
        <v>14</v>
      </c>
      <c r="V2" s="12" t="s">
        <v>15</v>
      </c>
      <c r="W2" s="12" t="s">
        <v>16</v>
      </c>
      <c r="X2" s="12" t="s">
        <v>17</v>
      </c>
      <c r="Y2" s="12" t="s">
        <v>18</v>
      </c>
      <c r="Z2" s="12" t="s">
        <v>19</v>
      </c>
      <c r="AA2" s="12" t="s">
        <v>20</v>
      </c>
      <c r="AB2" s="12" t="s">
        <v>35</v>
      </c>
      <c r="AC2" s="12" t="s">
        <v>34</v>
      </c>
    </row>
    <row r="3" spans="1:29" x14ac:dyDescent="0.3">
      <c r="A3" s="28" t="s">
        <v>61</v>
      </c>
      <c r="B3" s="17">
        <v>2126238</v>
      </c>
      <c r="C3" s="17">
        <f>B3*1.035</f>
        <v>2200656.3299999996</v>
      </c>
      <c r="D3" s="17">
        <f>C3*1.035</f>
        <v>2277679.3015499995</v>
      </c>
      <c r="E3" s="17">
        <f>D3*1.035</f>
        <v>2357398.0771042495</v>
      </c>
      <c r="F3" s="17">
        <f t="shared" ref="F3:AB3" si="0">E3*1.035</f>
        <v>2439907.0098028979</v>
      </c>
      <c r="G3" s="17">
        <f t="shared" si="0"/>
        <v>2525303.7551459991</v>
      </c>
      <c r="H3" s="17">
        <f t="shared" si="0"/>
        <v>2613689.3865761091</v>
      </c>
      <c r="I3" s="17">
        <f t="shared" si="0"/>
        <v>2705168.5151062729</v>
      </c>
      <c r="J3" s="17">
        <f t="shared" si="0"/>
        <v>2799849.4131349921</v>
      </c>
      <c r="K3" s="17">
        <f t="shared" si="0"/>
        <v>2897844.1425947165</v>
      </c>
      <c r="L3" s="17">
        <f t="shared" si="0"/>
        <v>2999268.6875855313</v>
      </c>
      <c r="M3" s="17">
        <f t="shared" si="0"/>
        <v>3104243.0916510248</v>
      </c>
      <c r="N3" s="17">
        <f t="shared" si="0"/>
        <v>3212891.5998588102</v>
      </c>
      <c r="O3" s="17">
        <f t="shared" si="0"/>
        <v>3325342.8058538684</v>
      </c>
      <c r="P3" s="17">
        <f t="shared" si="0"/>
        <v>3441729.8040587534</v>
      </c>
      <c r="Q3" s="17">
        <f t="shared" si="0"/>
        <v>3562190.3472008095</v>
      </c>
      <c r="R3" s="17">
        <f t="shared" si="0"/>
        <v>3686867.0093528377</v>
      </c>
      <c r="S3" s="17">
        <f t="shared" si="0"/>
        <v>3815907.3546801866</v>
      </c>
      <c r="T3" s="17">
        <f t="shared" si="0"/>
        <v>3949464.112093993</v>
      </c>
      <c r="U3" s="17">
        <f t="shared" si="0"/>
        <v>4087695.3560172822</v>
      </c>
      <c r="V3" s="17">
        <f t="shared" si="0"/>
        <v>4230764.6934778867</v>
      </c>
      <c r="W3" s="17">
        <f t="shared" si="0"/>
        <v>4378841.4577496126</v>
      </c>
      <c r="X3" s="17">
        <f t="shared" si="0"/>
        <v>4532100.908770849</v>
      </c>
      <c r="Y3" s="17">
        <f t="shared" si="0"/>
        <v>4690724.4405778283</v>
      </c>
      <c r="Z3" s="17">
        <f t="shared" si="0"/>
        <v>4854899.7959980518</v>
      </c>
      <c r="AA3" s="17">
        <f t="shared" si="0"/>
        <v>5024821.2888579834</v>
      </c>
      <c r="AB3" s="17">
        <f t="shared" si="0"/>
        <v>5200690.0339680128</v>
      </c>
      <c r="AC3" s="18">
        <f>SUM(E3:AB3)</f>
        <v>86437603.087218583</v>
      </c>
    </row>
    <row r="4" spans="1:29" ht="24.6" x14ac:dyDescent="0.3">
      <c r="A4" s="38" t="s">
        <v>67</v>
      </c>
      <c r="B4" s="17"/>
      <c r="C4" s="17"/>
      <c r="D4" s="17"/>
      <c r="E4" s="17">
        <f t="shared" ref="E4:AB4" si="1">E3</f>
        <v>2357398.0771042495</v>
      </c>
      <c r="F4" s="17">
        <f t="shared" si="1"/>
        <v>2439907.0098028979</v>
      </c>
      <c r="G4" s="17">
        <f t="shared" si="1"/>
        <v>2525303.7551459991</v>
      </c>
      <c r="H4" s="17">
        <f t="shared" si="1"/>
        <v>2613689.3865761091</v>
      </c>
      <c r="I4" s="17">
        <f t="shared" si="1"/>
        <v>2705168.5151062729</v>
      </c>
      <c r="J4" s="17">
        <f t="shared" si="1"/>
        <v>2799849.4131349921</v>
      </c>
      <c r="K4" s="17">
        <f t="shared" si="1"/>
        <v>2897844.1425947165</v>
      </c>
      <c r="L4" s="17">
        <f t="shared" si="1"/>
        <v>2999268.6875855313</v>
      </c>
      <c r="M4" s="17">
        <f t="shared" si="1"/>
        <v>3104243.0916510248</v>
      </c>
      <c r="N4" s="17">
        <f t="shared" si="1"/>
        <v>3212891.5998588102</v>
      </c>
      <c r="O4" s="17">
        <f t="shared" si="1"/>
        <v>3325342.8058538684</v>
      </c>
      <c r="P4" s="17">
        <f t="shared" si="1"/>
        <v>3441729.8040587534</v>
      </c>
      <c r="Q4" s="17">
        <f t="shared" si="1"/>
        <v>3562190.3472008095</v>
      </c>
      <c r="R4" s="17">
        <f t="shared" si="1"/>
        <v>3686867.0093528377</v>
      </c>
      <c r="S4" s="17">
        <f t="shared" si="1"/>
        <v>3815907.3546801866</v>
      </c>
      <c r="T4" s="17">
        <f t="shared" si="1"/>
        <v>3949464.112093993</v>
      </c>
      <c r="U4" s="17">
        <f t="shared" si="1"/>
        <v>4087695.3560172822</v>
      </c>
      <c r="V4" s="17">
        <f t="shared" si="1"/>
        <v>4230764.6934778867</v>
      </c>
      <c r="W4" s="17">
        <f t="shared" si="1"/>
        <v>4378841.4577496126</v>
      </c>
      <c r="X4" s="17">
        <f t="shared" si="1"/>
        <v>4532100.908770849</v>
      </c>
      <c r="Y4" s="17">
        <f t="shared" si="1"/>
        <v>4690724.4405778283</v>
      </c>
      <c r="Z4" s="17">
        <f t="shared" si="1"/>
        <v>4854899.7959980518</v>
      </c>
      <c r="AA4" s="17">
        <f t="shared" si="1"/>
        <v>5024821.2888579834</v>
      </c>
      <c r="AB4" s="17">
        <f t="shared" si="1"/>
        <v>5200690.0339680128</v>
      </c>
      <c r="AC4" s="18">
        <f>SUM(E4:AB4)</f>
        <v>86437603.087218583</v>
      </c>
    </row>
    <row r="5" spans="1:29" x14ac:dyDescent="0.3">
      <c r="A5" s="28" t="s">
        <v>69</v>
      </c>
      <c r="B5" s="17"/>
      <c r="C5" s="17"/>
      <c r="D5" s="17"/>
      <c r="E5" s="17">
        <v>0</v>
      </c>
      <c r="F5" s="17">
        <v>0</v>
      </c>
      <c r="G5" s="17">
        <v>0</v>
      </c>
      <c r="H5" s="17">
        <v>0</v>
      </c>
      <c r="I5" s="17">
        <v>0</v>
      </c>
      <c r="J5" s="17">
        <v>0</v>
      </c>
      <c r="K5" s="17">
        <v>0</v>
      </c>
      <c r="L5" s="17">
        <v>0</v>
      </c>
      <c r="M5" s="17">
        <v>0</v>
      </c>
      <c r="N5" s="17">
        <v>0</v>
      </c>
      <c r="O5" s="17">
        <v>0</v>
      </c>
      <c r="P5" s="17">
        <v>0</v>
      </c>
      <c r="Q5" s="17">
        <v>0</v>
      </c>
      <c r="R5" s="17">
        <v>0</v>
      </c>
      <c r="S5" s="17">
        <v>0</v>
      </c>
      <c r="T5" s="17">
        <v>0</v>
      </c>
      <c r="U5" s="17">
        <v>0</v>
      </c>
      <c r="V5" s="17">
        <v>0</v>
      </c>
      <c r="W5" s="17">
        <v>0</v>
      </c>
      <c r="X5" s="17">
        <v>0</v>
      </c>
      <c r="Y5" s="17">
        <v>0</v>
      </c>
      <c r="Z5" s="17">
        <v>0</v>
      </c>
      <c r="AA5" s="17">
        <v>0</v>
      </c>
      <c r="AB5" s="17">
        <v>0</v>
      </c>
      <c r="AC5" s="17">
        <v>0</v>
      </c>
    </row>
    <row r="6" spans="1:29" x14ac:dyDescent="0.3">
      <c r="A6" s="50"/>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x14ac:dyDescent="0.3">
      <c r="A7" s="45"/>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9"/>
    </row>
    <row r="8" spans="1:29" x14ac:dyDescent="0.3">
      <c r="A8" s="28" t="s">
        <v>68</v>
      </c>
      <c r="B8" s="17"/>
      <c r="C8" s="17">
        <v>822000</v>
      </c>
      <c r="D8" s="17">
        <v>822000</v>
      </c>
      <c r="E8" s="17">
        <v>822000</v>
      </c>
      <c r="F8" s="17">
        <v>822000</v>
      </c>
      <c r="G8" s="17">
        <v>822000</v>
      </c>
      <c r="H8" s="17">
        <v>822000</v>
      </c>
      <c r="I8" s="17">
        <v>822000</v>
      </c>
      <c r="J8" s="17">
        <v>822000</v>
      </c>
      <c r="K8" s="17">
        <v>822000</v>
      </c>
      <c r="L8" s="17">
        <v>822000</v>
      </c>
      <c r="M8" s="17">
        <v>822000</v>
      </c>
      <c r="N8" s="17">
        <v>822000</v>
      </c>
      <c r="O8" s="17">
        <v>822000</v>
      </c>
      <c r="P8" s="17">
        <v>822000</v>
      </c>
      <c r="Q8" s="17">
        <v>822000</v>
      </c>
      <c r="R8" s="17">
        <v>822000</v>
      </c>
      <c r="S8" s="17">
        <v>822000</v>
      </c>
      <c r="T8" s="17">
        <v>822000</v>
      </c>
      <c r="U8" s="17">
        <v>822000</v>
      </c>
      <c r="V8" s="17">
        <v>822000</v>
      </c>
      <c r="W8" s="17">
        <v>822000</v>
      </c>
      <c r="X8" s="17">
        <v>822000</v>
      </c>
      <c r="Y8" s="17">
        <v>822000</v>
      </c>
      <c r="Z8" s="17">
        <v>822000</v>
      </c>
      <c r="AA8" s="17">
        <v>822000</v>
      </c>
      <c r="AB8" s="17">
        <v>822000</v>
      </c>
      <c r="AC8" s="18">
        <f>SUM(E8:AB8)</f>
        <v>19728000</v>
      </c>
    </row>
    <row r="9" spans="1:29" x14ac:dyDescent="0.3">
      <c r="A9" s="15" t="s">
        <v>62</v>
      </c>
    </row>
    <row r="10" spans="1:29" x14ac:dyDescent="0.3">
      <c r="A10" s="15" t="s">
        <v>80</v>
      </c>
    </row>
    <row r="11" spans="1:29" x14ac:dyDescent="0.3">
      <c r="A11" s="15" t="s">
        <v>63</v>
      </c>
    </row>
    <row r="12" spans="1:29" x14ac:dyDescent="0.3">
      <c r="A12" s="15" t="s">
        <v>118</v>
      </c>
    </row>
    <row r="13" spans="1:29" x14ac:dyDescent="0.3">
      <c r="A13" s="15"/>
    </row>
    <row r="14" spans="1:29" x14ac:dyDescent="0.3">
      <c r="A14" s="42" t="s">
        <v>79</v>
      </c>
    </row>
    <row r="15" spans="1:29" x14ac:dyDescent="0.3">
      <c r="A15" s="2" t="s">
        <v>40</v>
      </c>
      <c r="B15" s="31">
        <f>SUM(E3,F3,G3,H3)</f>
        <v>9936298.2286292557</v>
      </c>
    </row>
    <row r="16" spans="1:29" x14ac:dyDescent="0.3">
      <c r="A16" s="2" t="s">
        <v>39</v>
      </c>
      <c r="B16" s="31">
        <f>SUM(I3,J3,K3,L3,M3,N3,O3,P3,Q3,R3)</f>
        <v>31735395.416397616</v>
      </c>
    </row>
    <row r="17" spans="1:2" x14ac:dyDescent="0.3">
      <c r="A17" s="2" t="s">
        <v>38</v>
      </c>
      <c r="B17" s="31">
        <f>SUM(S3,T3,U3,V3,W3,X3,Y3,Z3,AA3,AB3)</f>
        <v>44765909.44219169</v>
      </c>
    </row>
    <row r="18" spans="1:2" x14ac:dyDescent="0.3">
      <c r="A18" s="26" t="s">
        <v>41</v>
      </c>
      <c r="B18" s="40">
        <f>SUM(B15:B17)</f>
        <v>86437603.087218553</v>
      </c>
    </row>
    <row r="19" spans="1:2" x14ac:dyDescent="0.3">
      <c r="A19" s="2"/>
    </row>
    <row r="21" spans="1:2" x14ac:dyDescent="0.3">
      <c r="A21" s="19"/>
    </row>
  </sheetData>
  <pageMargins left="0.7" right="0.7" top="0.75" bottom="0.75" header="0.3" footer="0.3"/>
  <pageSetup paperSize="17"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
  <sheetViews>
    <sheetView topLeftCell="R1" zoomScaleNormal="100" workbookViewId="0">
      <selection activeCell="C4" sqref="C4"/>
    </sheetView>
  </sheetViews>
  <sheetFormatPr defaultRowHeight="14.4" x14ac:dyDescent="0.3"/>
  <cols>
    <col min="1" max="1" width="36" customWidth="1"/>
    <col min="2" max="2" width="13.6640625" customWidth="1"/>
    <col min="3" max="28" width="12.6640625" customWidth="1"/>
    <col min="29" max="29" width="19.109375" customWidth="1"/>
  </cols>
  <sheetData>
    <row r="1" spans="1:29" x14ac:dyDescent="0.3">
      <c r="A1" s="3" t="s">
        <v>72</v>
      </c>
    </row>
    <row r="2" spans="1:29" ht="24.6" x14ac:dyDescent="0.3">
      <c r="A2" s="4"/>
      <c r="B2" s="7" t="s">
        <v>29</v>
      </c>
      <c r="C2" s="7" t="s">
        <v>21</v>
      </c>
      <c r="D2" s="7" t="s">
        <v>28</v>
      </c>
      <c r="E2" s="7" t="s">
        <v>27</v>
      </c>
      <c r="F2" s="7" t="s">
        <v>26</v>
      </c>
      <c r="G2" s="7" t="s">
        <v>22</v>
      </c>
      <c r="H2" s="7" t="s">
        <v>23</v>
      </c>
      <c r="I2" s="7" t="s">
        <v>24</v>
      </c>
      <c r="J2" s="7" t="s">
        <v>25</v>
      </c>
      <c r="K2" s="7" t="s">
        <v>3</v>
      </c>
      <c r="L2" s="7" t="s">
        <v>4</v>
      </c>
      <c r="M2" s="7" t="s">
        <v>5</v>
      </c>
      <c r="N2" s="7" t="s">
        <v>6</v>
      </c>
      <c r="O2" s="7" t="s">
        <v>7</v>
      </c>
      <c r="P2" s="7" t="s">
        <v>8</v>
      </c>
      <c r="Q2" s="7" t="s">
        <v>9</v>
      </c>
      <c r="R2" s="12" t="s">
        <v>11</v>
      </c>
      <c r="S2" s="12" t="s">
        <v>12</v>
      </c>
      <c r="T2" s="12" t="s">
        <v>13</v>
      </c>
      <c r="U2" s="12" t="s">
        <v>14</v>
      </c>
      <c r="V2" s="12" t="s">
        <v>15</v>
      </c>
      <c r="W2" s="12" t="s">
        <v>16</v>
      </c>
      <c r="X2" s="12" t="s">
        <v>17</v>
      </c>
      <c r="Y2" s="12" t="s">
        <v>18</v>
      </c>
      <c r="Z2" s="12" t="s">
        <v>19</v>
      </c>
      <c r="AA2" s="12" t="s">
        <v>20</v>
      </c>
      <c r="AB2" s="12" t="s">
        <v>36</v>
      </c>
      <c r="AC2" s="12" t="s">
        <v>34</v>
      </c>
    </row>
    <row r="3" spans="1:29" x14ac:dyDescent="0.3">
      <c r="A3" s="28" t="s">
        <v>30</v>
      </c>
      <c r="B3" s="17">
        <v>1088235</v>
      </c>
      <c r="C3" s="17">
        <f t="shared" ref="C3:E4" si="0">B3*1.035</f>
        <v>1126323.2249999999</v>
      </c>
      <c r="D3" s="17">
        <f t="shared" si="0"/>
        <v>1165744.5378749997</v>
      </c>
      <c r="E3" s="17">
        <f t="shared" si="0"/>
        <v>1206545.5967006246</v>
      </c>
      <c r="F3" s="17">
        <f t="shared" ref="F3:AB3" si="1">E3*1.035</f>
        <v>1248774.6925851463</v>
      </c>
      <c r="G3" s="17">
        <f t="shared" si="1"/>
        <v>1292481.8068256264</v>
      </c>
      <c r="H3" s="17">
        <f t="shared" si="1"/>
        <v>1337718.6700645231</v>
      </c>
      <c r="I3" s="17">
        <f t="shared" si="1"/>
        <v>1384538.8235167812</v>
      </c>
      <c r="J3" s="17">
        <f t="shared" si="1"/>
        <v>1432997.6823398685</v>
      </c>
      <c r="K3" s="17">
        <f t="shared" si="1"/>
        <v>1483152.6012217638</v>
      </c>
      <c r="L3" s="17">
        <f t="shared" si="1"/>
        <v>1535062.9422645255</v>
      </c>
      <c r="M3" s="17">
        <f t="shared" si="1"/>
        <v>1588790.1452437837</v>
      </c>
      <c r="N3" s="17">
        <f t="shared" si="1"/>
        <v>1644397.8003273159</v>
      </c>
      <c r="O3" s="17">
        <f t="shared" si="1"/>
        <v>1701951.7233387718</v>
      </c>
      <c r="P3" s="17">
        <f t="shared" si="1"/>
        <v>1761520.0336556288</v>
      </c>
      <c r="Q3" s="17">
        <f t="shared" si="1"/>
        <v>1823173.2348335756</v>
      </c>
      <c r="R3" s="17">
        <f t="shared" si="1"/>
        <v>1886984.2980527505</v>
      </c>
      <c r="S3" s="17">
        <f t="shared" si="1"/>
        <v>1953028.7484845966</v>
      </c>
      <c r="T3" s="17">
        <f t="shared" si="1"/>
        <v>2021384.7546815574</v>
      </c>
      <c r="U3" s="17">
        <f t="shared" si="1"/>
        <v>2092133.2210954118</v>
      </c>
      <c r="V3" s="17">
        <f t="shared" si="1"/>
        <v>2165357.8838337511</v>
      </c>
      <c r="W3" s="17">
        <f t="shared" si="1"/>
        <v>2241145.4097679323</v>
      </c>
      <c r="X3" s="17">
        <f t="shared" si="1"/>
        <v>2319585.4991098098</v>
      </c>
      <c r="Y3" s="17">
        <f t="shared" si="1"/>
        <v>2400770.991578653</v>
      </c>
      <c r="Z3" s="17">
        <f t="shared" si="1"/>
        <v>2484797.9762839056</v>
      </c>
      <c r="AA3" s="17">
        <f t="shared" si="1"/>
        <v>2571765.9054538421</v>
      </c>
      <c r="AB3" s="17">
        <f t="shared" si="1"/>
        <v>2661777.7121447264</v>
      </c>
      <c r="AC3" s="18">
        <f>SUM(E3:AB3)</f>
        <v>44239838.153404884</v>
      </c>
    </row>
    <row r="4" spans="1:29" ht="24.6" x14ac:dyDescent="0.3">
      <c r="A4" s="38" t="s">
        <v>67</v>
      </c>
      <c r="B4" s="17">
        <v>1088235</v>
      </c>
      <c r="C4" s="17">
        <f t="shared" si="0"/>
        <v>1126323.2249999999</v>
      </c>
      <c r="D4" s="17">
        <f t="shared" si="0"/>
        <v>1165744.5378749997</v>
      </c>
      <c r="E4" s="17">
        <f t="shared" si="0"/>
        <v>1206545.5967006246</v>
      </c>
      <c r="F4" s="17">
        <f t="shared" ref="F4" si="2">E4*1.035</f>
        <v>1248774.6925851463</v>
      </c>
      <c r="G4" s="17">
        <f t="shared" ref="G4" si="3">F4*1.035</f>
        <v>1292481.8068256264</v>
      </c>
      <c r="H4" s="17">
        <f t="shared" ref="H4" si="4">G4*1.035</f>
        <v>1337718.6700645231</v>
      </c>
      <c r="I4" s="17">
        <f t="shared" ref="I4" si="5">H4*1.035</f>
        <v>1384538.8235167812</v>
      </c>
      <c r="J4" s="17">
        <f t="shared" ref="J4" si="6">I4*1.035</f>
        <v>1432997.6823398685</v>
      </c>
      <c r="K4" s="17">
        <f t="shared" ref="K4" si="7">J4*1.035</f>
        <v>1483152.6012217638</v>
      </c>
      <c r="L4" s="17">
        <f t="shared" ref="L4" si="8">K4*1.035</f>
        <v>1535062.9422645255</v>
      </c>
      <c r="M4" s="17">
        <f t="shared" ref="M4" si="9">L4*1.035</f>
        <v>1588790.1452437837</v>
      </c>
      <c r="N4" s="17">
        <f t="shared" ref="N4" si="10">M4*1.035</f>
        <v>1644397.8003273159</v>
      </c>
      <c r="O4" s="17">
        <f t="shared" ref="O4" si="11">N4*1.035</f>
        <v>1701951.7233387718</v>
      </c>
      <c r="P4" s="17">
        <f t="shared" ref="P4" si="12">O4*1.035</f>
        <v>1761520.0336556288</v>
      </c>
      <c r="Q4" s="17">
        <f t="shared" ref="Q4" si="13">P4*1.035</f>
        <v>1823173.2348335756</v>
      </c>
      <c r="R4" s="17">
        <f t="shared" ref="R4" si="14">Q4*1.035</f>
        <v>1886984.2980527505</v>
      </c>
      <c r="S4" s="17">
        <f t="shared" ref="S4" si="15">R4*1.035</f>
        <v>1953028.7484845966</v>
      </c>
      <c r="T4" s="17">
        <f t="shared" ref="T4" si="16">S4*1.035</f>
        <v>2021384.7546815574</v>
      </c>
      <c r="U4" s="17">
        <f t="shared" ref="U4" si="17">T4*1.035</f>
        <v>2092133.2210954118</v>
      </c>
      <c r="V4" s="17">
        <f t="shared" ref="V4" si="18">U4*1.035</f>
        <v>2165357.8838337511</v>
      </c>
      <c r="W4" s="17">
        <f t="shared" ref="W4" si="19">V4*1.035</f>
        <v>2241145.4097679323</v>
      </c>
      <c r="X4" s="17">
        <f t="shared" ref="X4" si="20">W4*1.035</f>
        <v>2319585.4991098098</v>
      </c>
      <c r="Y4" s="17">
        <f t="shared" ref="Y4" si="21">X4*1.035</f>
        <v>2400770.991578653</v>
      </c>
      <c r="Z4" s="17">
        <f t="shared" ref="Z4" si="22">Y4*1.035</f>
        <v>2484797.9762839056</v>
      </c>
      <c r="AA4" s="17">
        <f t="shared" ref="AA4" si="23">Z4*1.035</f>
        <v>2571765.9054538421</v>
      </c>
      <c r="AB4" s="17">
        <f t="shared" ref="AB4" si="24">AA4*1.035</f>
        <v>2661777.7121447264</v>
      </c>
      <c r="AC4" s="18">
        <f>SUM(E4:AB4)</f>
        <v>44239838.153404884</v>
      </c>
    </row>
    <row r="5" spans="1:29" x14ac:dyDescent="0.3">
      <c r="A5" s="28" t="s">
        <v>69</v>
      </c>
      <c r="B5" s="17">
        <v>0</v>
      </c>
      <c r="C5" s="17">
        <v>0</v>
      </c>
      <c r="D5" s="17">
        <v>0</v>
      </c>
      <c r="E5" s="17">
        <v>0</v>
      </c>
      <c r="F5" s="17">
        <v>0</v>
      </c>
      <c r="G5" s="17">
        <v>0</v>
      </c>
      <c r="H5" s="17">
        <v>0</v>
      </c>
      <c r="I5" s="17">
        <v>0</v>
      </c>
      <c r="J5" s="17">
        <v>0</v>
      </c>
      <c r="K5" s="17">
        <v>0</v>
      </c>
      <c r="L5" s="17">
        <v>0</v>
      </c>
      <c r="M5" s="17">
        <v>0</v>
      </c>
      <c r="N5" s="17">
        <v>0</v>
      </c>
      <c r="O5" s="17">
        <v>0</v>
      </c>
      <c r="P5" s="17">
        <v>0</v>
      </c>
      <c r="Q5" s="17">
        <v>0</v>
      </c>
      <c r="R5" s="17">
        <v>0</v>
      </c>
      <c r="S5" s="17">
        <v>0</v>
      </c>
      <c r="T5" s="17">
        <v>0</v>
      </c>
      <c r="U5" s="17">
        <v>0</v>
      </c>
      <c r="V5" s="17">
        <v>0</v>
      </c>
      <c r="W5" s="17">
        <v>0</v>
      </c>
      <c r="X5" s="17">
        <v>0</v>
      </c>
      <c r="Y5" s="17">
        <v>0</v>
      </c>
      <c r="Z5" s="17">
        <v>0</v>
      </c>
      <c r="AA5" s="17">
        <v>0</v>
      </c>
      <c r="AB5" s="17">
        <v>0</v>
      </c>
      <c r="AC5" s="17">
        <v>0</v>
      </c>
    </row>
    <row r="6" spans="1:29" x14ac:dyDescent="0.3">
      <c r="A6" s="44"/>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8"/>
    </row>
    <row r="7" spans="1:29" x14ac:dyDescent="0.3">
      <c r="A7" s="45"/>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9"/>
    </row>
    <row r="8" spans="1:29" x14ac:dyDescent="0.3">
      <c r="A8" s="28" t="s">
        <v>68</v>
      </c>
      <c r="B8" s="17"/>
      <c r="C8" s="17">
        <v>45000</v>
      </c>
      <c r="D8" s="17">
        <v>45000</v>
      </c>
      <c r="E8" s="17">
        <v>45000</v>
      </c>
      <c r="F8" s="17">
        <v>45000</v>
      </c>
      <c r="G8" s="17">
        <v>45000</v>
      </c>
      <c r="H8" s="17">
        <v>45000</v>
      </c>
      <c r="I8" s="17">
        <v>45000</v>
      </c>
      <c r="J8" s="17">
        <v>45000</v>
      </c>
      <c r="K8" s="17">
        <v>45000</v>
      </c>
      <c r="L8" s="17">
        <v>45000</v>
      </c>
      <c r="M8" s="17">
        <v>45000</v>
      </c>
      <c r="N8" s="17">
        <v>45000</v>
      </c>
      <c r="O8" s="17">
        <v>45000</v>
      </c>
      <c r="P8" s="17">
        <v>45000</v>
      </c>
      <c r="Q8" s="17">
        <v>45000</v>
      </c>
      <c r="R8" s="17">
        <v>45000</v>
      </c>
      <c r="S8" s="17">
        <v>45000</v>
      </c>
      <c r="T8" s="17">
        <v>45000</v>
      </c>
      <c r="U8" s="17">
        <v>45000</v>
      </c>
      <c r="V8" s="17">
        <v>45000</v>
      </c>
      <c r="W8" s="17">
        <v>45000</v>
      </c>
      <c r="X8" s="17">
        <v>45000</v>
      </c>
      <c r="Y8" s="17">
        <v>45000</v>
      </c>
      <c r="Z8" s="17">
        <v>45000</v>
      </c>
      <c r="AA8" s="17">
        <v>45000</v>
      </c>
      <c r="AB8" s="17">
        <v>45000</v>
      </c>
      <c r="AC8" s="18">
        <f>SUM(E8:AB8)</f>
        <v>1080000</v>
      </c>
    </row>
    <row r="9" spans="1:29" x14ac:dyDescent="0.3">
      <c r="A9" s="15" t="s">
        <v>78</v>
      </c>
    </row>
    <row r="10" spans="1:29" x14ac:dyDescent="0.3">
      <c r="A10" s="15" t="s">
        <v>59</v>
      </c>
    </row>
    <row r="11" spans="1:29" x14ac:dyDescent="0.3">
      <c r="A11" s="15" t="s">
        <v>71</v>
      </c>
    </row>
    <row r="12" spans="1:29" x14ac:dyDescent="0.3">
      <c r="A12" s="15"/>
    </row>
    <row r="13" spans="1:29" x14ac:dyDescent="0.3">
      <c r="A13" s="42" t="s">
        <v>79</v>
      </c>
    </row>
    <row r="14" spans="1:29" x14ac:dyDescent="0.3">
      <c r="A14" s="2" t="s">
        <v>40</v>
      </c>
      <c r="B14" s="31">
        <f>SUM(E3,F3,G3,H3)</f>
        <v>5085520.7661759201</v>
      </c>
    </row>
    <row r="15" spans="1:29" x14ac:dyDescent="0.3">
      <c r="A15" s="2" t="s">
        <v>39</v>
      </c>
      <c r="B15" s="31">
        <f>SUM(I3,J3,K3,L3,M3,N3,O3,P3,Q3,R3)</f>
        <v>16242569.284794765</v>
      </c>
    </row>
    <row r="16" spans="1:29" x14ac:dyDescent="0.3">
      <c r="A16" s="2" t="s">
        <v>38</v>
      </c>
      <c r="B16" s="31">
        <f>SUM(S3,T3,U3,V3,W3,X3,Y3,Z3,AA3,AB3)</f>
        <v>22911748.102434184</v>
      </c>
    </row>
    <row r="17" spans="1:2" x14ac:dyDescent="0.3">
      <c r="A17" s="26" t="s">
        <v>41</v>
      </c>
      <c r="B17" s="40">
        <f>SUM(B14:B16)</f>
        <v>44239838.153404869</v>
      </c>
    </row>
    <row r="20" spans="1:2" x14ac:dyDescent="0.3">
      <c r="A20" s="35"/>
    </row>
    <row r="21" spans="1:2" x14ac:dyDescent="0.3">
      <c r="A21" s="26"/>
    </row>
    <row r="22" spans="1:2" x14ac:dyDescent="0.3">
      <c r="A22" s="26"/>
    </row>
    <row r="23" spans="1:2" x14ac:dyDescent="0.3">
      <c r="A23" s="26"/>
    </row>
    <row r="24" spans="1:2" x14ac:dyDescent="0.3">
      <c r="A24" s="26"/>
    </row>
  </sheetData>
  <pageMargins left="0.7" right="0.7" top="0.75" bottom="0.75" header="0.3" footer="0.3"/>
  <pageSetup paperSize="17"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zoomScaleNormal="100" workbookViewId="0">
      <selection activeCell="X18" sqref="X18"/>
    </sheetView>
  </sheetViews>
  <sheetFormatPr defaultRowHeight="14.4" x14ac:dyDescent="0.3"/>
  <cols>
    <col min="1" max="1" width="34.44140625" customWidth="1"/>
    <col min="2" max="29" width="12.6640625" customWidth="1"/>
  </cols>
  <sheetData>
    <row r="1" spans="1:29" x14ac:dyDescent="0.3">
      <c r="A1" s="3" t="s">
        <v>65</v>
      </c>
    </row>
    <row r="2" spans="1:29" ht="36.6" x14ac:dyDescent="0.3">
      <c r="A2" s="4"/>
      <c r="B2" s="7" t="s">
        <v>60</v>
      </c>
      <c r="C2" s="7" t="s">
        <v>21</v>
      </c>
      <c r="D2" s="7" t="s">
        <v>28</v>
      </c>
      <c r="E2" s="7" t="s">
        <v>27</v>
      </c>
      <c r="F2" s="7" t="s">
        <v>26</v>
      </c>
      <c r="G2" s="7" t="s">
        <v>22</v>
      </c>
      <c r="H2" s="7" t="s">
        <v>23</v>
      </c>
      <c r="I2" s="7" t="s">
        <v>24</v>
      </c>
      <c r="J2" s="7" t="s">
        <v>25</v>
      </c>
      <c r="K2" s="7" t="s">
        <v>3</v>
      </c>
      <c r="L2" s="7" t="s">
        <v>4</v>
      </c>
      <c r="M2" s="7" t="s">
        <v>5</v>
      </c>
      <c r="N2" s="7" t="s">
        <v>6</v>
      </c>
      <c r="O2" s="7" t="s">
        <v>7</v>
      </c>
      <c r="P2" s="7" t="s">
        <v>8</v>
      </c>
      <c r="Q2" s="7" t="s">
        <v>9</v>
      </c>
      <c r="R2" s="12" t="s">
        <v>11</v>
      </c>
      <c r="S2" s="12" t="s">
        <v>12</v>
      </c>
      <c r="T2" s="12" t="s">
        <v>13</v>
      </c>
      <c r="U2" s="12" t="s">
        <v>14</v>
      </c>
      <c r="V2" s="12" t="s">
        <v>15</v>
      </c>
      <c r="W2" s="12" t="s">
        <v>16</v>
      </c>
      <c r="X2" s="12" t="s">
        <v>17</v>
      </c>
      <c r="Y2" s="12" t="s">
        <v>18</v>
      </c>
      <c r="Z2" s="12" t="s">
        <v>19</v>
      </c>
      <c r="AA2" s="12" t="s">
        <v>20</v>
      </c>
      <c r="AB2" s="12" t="s">
        <v>35</v>
      </c>
      <c r="AC2" s="12" t="s">
        <v>34</v>
      </c>
    </row>
    <row r="3" spans="1:29" x14ac:dyDescent="0.3">
      <c r="A3" s="28" t="s">
        <v>30</v>
      </c>
      <c r="B3" s="17">
        <v>219083</v>
      </c>
      <c r="C3" s="17">
        <f>B3*1.035</f>
        <v>226750.90499999997</v>
      </c>
      <c r="D3" s="17">
        <f>C3*1.035</f>
        <v>234687.18667499995</v>
      </c>
      <c r="E3" s="17">
        <f>D3*1.035</f>
        <v>242901.23820862491</v>
      </c>
      <c r="F3" s="17">
        <f t="shared" ref="F3:AB3" si="0">E3*1.035</f>
        <v>251402.78154592676</v>
      </c>
      <c r="G3" s="17">
        <f t="shared" si="0"/>
        <v>260201.87890003418</v>
      </c>
      <c r="H3" s="17">
        <f t="shared" si="0"/>
        <v>269308.94466153538</v>
      </c>
      <c r="I3" s="17">
        <f t="shared" si="0"/>
        <v>278734.75772468909</v>
      </c>
      <c r="J3" s="17">
        <f t="shared" si="0"/>
        <v>288490.47424505319</v>
      </c>
      <c r="K3" s="17">
        <f t="shared" si="0"/>
        <v>298587.64084363001</v>
      </c>
      <c r="L3" s="17">
        <f t="shared" si="0"/>
        <v>309038.20827315701</v>
      </c>
      <c r="M3" s="17">
        <f t="shared" si="0"/>
        <v>319854.54556271748</v>
      </c>
      <c r="N3" s="17">
        <f t="shared" si="0"/>
        <v>331049.45465741254</v>
      </c>
      <c r="O3" s="17">
        <f t="shared" si="0"/>
        <v>342636.18557042198</v>
      </c>
      <c r="P3" s="17">
        <f t="shared" si="0"/>
        <v>354628.45206538669</v>
      </c>
      <c r="Q3" s="17">
        <f t="shared" si="0"/>
        <v>367040.4478876752</v>
      </c>
      <c r="R3" s="17">
        <f t="shared" si="0"/>
        <v>379886.86356374383</v>
      </c>
      <c r="S3" s="17">
        <f t="shared" si="0"/>
        <v>393182.90378847485</v>
      </c>
      <c r="T3" s="17">
        <f t="shared" si="0"/>
        <v>406944.30542107142</v>
      </c>
      <c r="U3" s="17">
        <f t="shared" si="0"/>
        <v>421187.35611080891</v>
      </c>
      <c r="V3" s="17">
        <f t="shared" si="0"/>
        <v>435928.91357468721</v>
      </c>
      <c r="W3" s="17">
        <f t="shared" si="0"/>
        <v>451186.42554980121</v>
      </c>
      <c r="X3" s="17">
        <f t="shared" si="0"/>
        <v>466977.9504440442</v>
      </c>
      <c r="Y3" s="17">
        <f t="shared" si="0"/>
        <v>483322.17870958569</v>
      </c>
      <c r="Z3" s="17">
        <f t="shared" si="0"/>
        <v>500238.45496442117</v>
      </c>
      <c r="AA3" s="17">
        <f t="shared" si="0"/>
        <v>517746.80088817584</v>
      </c>
      <c r="AB3" s="17">
        <f t="shared" si="0"/>
        <v>535867.93891926191</v>
      </c>
      <c r="AC3" s="18">
        <f>SUM(E3:AB3)</f>
        <v>8906345.1020803414</v>
      </c>
    </row>
    <row r="4" spans="1:29" x14ac:dyDescent="0.3">
      <c r="A4" s="2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8"/>
    </row>
    <row r="5" spans="1:29" ht="24.6" x14ac:dyDescent="0.3">
      <c r="A5" s="38" t="s">
        <v>74</v>
      </c>
      <c r="B5" s="17"/>
      <c r="C5" s="17">
        <f t="shared" ref="C5:AC5" si="1">C3*0.5</f>
        <v>113375.45249999998</v>
      </c>
      <c r="D5" s="17">
        <f t="shared" si="1"/>
        <v>117343.59333749997</v>
      </c>
      <c r="E5" s="17">
        <f t="shared" si="1"/>
        <v>121450.61910431246</v>
      </c>
      <c r="F5" s="17">
        <f t="shared" si="1"/>
        <v>125701.39077296338</v>
      </c>
      <c r="G5" s="17">
        <f t="shared" si="1"/>
        <v>130100.93945001709</v>
      </c>
      <c r="H5" s="17">
        <f t="shared" si="1"/>
        <v>134654.47233076769</v>
      </c>
      <c r="I5" s="17">
        <f t="shared" si="1"/>
        <v>139367.37886234454</v>
      </c>
      <c r="J5" s="17">
        <f t="shared" si="1"/>
        <v>144245.2371225266</v>
      </c>
      <c r="K5" s="17">
        <f t="shared" si="1"/>
        <v>149293.82042181501</v>
      </c>
      <c r="L5" s="17">
        <f t="shared" si="1"/>
        <v>154519.10413657851</v>
      </c>
      <c r="M5" s="17">
        <f t="shared" si="1"/>
        <v>159927.27278135874</v>
      </c>
      <c r="N5" s="17">
        <f t="shared" si="1"/>
        <v>165524.72732870627</v>
      </c>
      <c r="O5" s="17">
        <f t="shared" si="1"/>
        <v>171318.09278521099</v>
      </c>
      <c r="P5" s="17">
        <f t="shared" si="1"/>
        <v>177314.22603269335</v>
      </c>
      <c r="Q5" s="17">
        <f t="shared" si="1"/>
        <v>183520.2239438376</v>
      </c>
      <c r="R5" s="17">
        <f t="shared" si="1"/>
        <v>189943.43178187191</v>
      </c>
      <c r="S5" s="17">
        <f t="shared" si="1"/>
        <v>196591.45189423743</v>
      </c>
      <c r="T5" s="17">
        <f t="shared" si="1"/>
        <v>203472.15271053571</v>
      </c>
      <c r="U5" s="17">
        <f t="shared" si="1"/>
        <v>210593.67805540445</v>
      </c>
      <c r="V5" s="17">
        <f t="shared" si="1"/>
        <v>217964.4567873436</v>
      </c>
      <c r="W5" s="17">
        <f t="shared" si="1"/>
        <v>225593.2127749006</v>
      </c>
      <c r="X5" s="17">
        <f t="shared" si="1"/>
        <v>233488.9752220221</v>
      </c>
      <c r="Y5" s="17">
        <f t="shared" si="1"/>
        <v>241661.08935479284</v>
      </c>
      <c r="Z5" s="17">
        <f t="shared" si="1"/>
        <v>250119.22748221058</v>
      </c>
      <c r="AA5" s="17">
        <f t="shared" si="1"/>
        <v>258873.40044408792</v>
      </c>
      <c r="AB5" s="17">
        <f t="shared" si="1"/>
        <v>267933.96945963096</v>
      </c>
      <c r="AC5" s="18">
        <f t="shared" si="1"/>
        <v>4453172.5510401707</v>
      </c>
    </row>
    <row r="6" spans="1:29" x14ac:dyDescent="0.3">
      <c r="A6" s="28" t="s">
        <v>70</v>
      </c>
      <c r="B6" s="5">
        <v>0</v>
      </c>
      <c r="C6" s="5">
        <v>0</v>
      </c>
      <c r="D6" s="5">
        <v>0</v>
      </c>
      <c r="E6" s="5">
        <v>0</v>
      </c>
      <c r="F6" s="5">
        <v>0</v>
      </c>
      <c r="G6" s="5">
        <v>0</v>
      </c>
      <c r="H6" s="5">
        <v>0</v>
      </c>
      <c r="I6" s="5">
        <v>0</v>
      </c>
      <c r="J6" s="5">
        <v>0</v>
      </c>
      <c r="K6" s="5">
        <v>0</v>
      </c>
      <c r="L6" s="5">
        <v>0</v>
      </c>
      <c r="M6" s="5">
        <v>0</v>
      </c>
      <c r="N6" s="5">
        <v>0</v>
      </c>
      <c r="O6" s="5">
        <v>0</v>
      </c>
      <c r="P6" s="5">
        <v>0</v>
      </c>
      <c r="Q6" s="5">
        <v>0</v>
      </c>
      <c r="R6" s="5">
        <v>0</v>
      </c>
      <c r="S6" s="5">
        <v>0</v>
      </c>
      <c r="T6" s="5">
        <v>0</v>
      </c>
      <c r="U6" s="5">
        <v>0</v>
      </c>
      <c r="V6" s="5">
        <v>0</v>
      </c>
      <c r="W6" s="5">
        <v>0</v>
      </c>
      <c r="X6" s="5">
        <v>0</v>
      </c>
      <c r="Y6" s="5">
        <v>0</v>
      </c>
      <c r="Z6" s="5">
        <v>0</v>
      </c>
      <c r="AA6" s="5">
        <v>0</v>
      </c>
      <c r="AB6" s="5">
        <v>0</v>
      </c>
      <c r="AC6" s="5">
        <v>0</v>
      </c>
    </row>
    <row r="7" spans="1:29" x14ac:dyDescent="0.3">
      <c r="A7" s="26"/>
    </row>
    <row r="8" spans="1:29" x14ac:dyDescent="0.3">
      <c r="A8" s="26"/>
    </row>
    <row r="9" spans="1:29" x14ac:dyDescent="0.3">
      <c r="A9" s="4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row>
    <row r="10" spans="1:29" x14ac:dyDescent="0.3">
      <c r="A10" s="39" t="s">
        <v>66</v>
      </c>
      <c r="B10" s="17"/>
      <c r="C10" s="17">
        <v>23000</v>
      </c>
      <c r="D10" s="17">
        <v>23000</v>
      </c>
      <c r="E10" s="17">
        <v>23000</v>
      </c>
      <c r="F10" s="17">
        <v>23000</v>
      </c>
      <c r="G10" s="17">
        <v>23000</v>
      </c>
      <c r="H10" s="17">
        <v>23000</v>
      </c>
      <c r="I10" s="17">
        <v>23000</v>
      </c>
      <c r="J10" s="17">
        <v>23000</v>
      </c>
      <c r="K10" s="17">
        <v>23000</v>
      </c>
      <c r="L10" s="17">
        <v>23000</v>
      </c>
      <c r="M10" s="17">
        <v>23000</v>
      </c>
      <c r="N10" s="17">
        <v>23000</v>
      </c>
      <c r="O10" s="17">
        <v>23000</v>
      </c>
      <c r="P10" s="17">
        <v>23000</v>
      </c>
      <c r="Q10" s="17">
        <v>23000</v>
      </c>
      <c r="R10" s="17">
        <v>23000</v>
      </c>
      <c r="S10" s="17">
        <v>23000</v>
      </c>
      <c r="T10" s="17">
        <v>23000</v>
      </c>
      <c r="U10" s="17">
        <v>23000</v>
      </c>
      <c r="V10" s="17">
        <v>23000</v>
      </c>
      <c r="W10" s="17">
        <v>23000</v>
      </c>
      <c r="X10" s="17">
        <v>23000</v>
      </c>
      <c r="Y10" s="17">
        <v>23000</v>
      </c>
      <c r="Z10" s="17">
        <v>23000</v>
      </c>
      <c r="AA10" s="17">
        <v>23000</v>
      </c>
      <c r="AB10" s="17">
        <v>23000</v>
      </c>
      <c r="AC10" s="18">
        <f>SUM(E10:AA10)</f>
        <v>529000</v>
      </c>
    </row>
    <row r="11" spans="1:29" x14ac:dyDescent="0.3">
      <c r="A11" s="2" t="s">
        <v>64</v>
      </c>
    </row>
    <row r="12" spans="1:29" x14ac:dyDescent="0.3">
      <c r="A12" s="2" t="s">
        <v>59</v>
      </c>
    </row>
    <row r="13" spans="1:29" x14ac:dyDescent="0.3">
      <c r="A13" s="2" t="s">
        <v>75</v>
      </c>
    </row>
    <row r="14" spans="1:29" x14ac:dyDescent="0.3">
      <c r="A14" s="2" t="s">
        <v>75</v>
      </c>
    </row>
    <row r="15" spans="1:29" x14ac:dyDescent="0.3">
      <c r="A15" s="2"/>
    </row>
    <row r="16" spans="1:29" x14ac:dyDescent="0.3">
      <c r="A16" s="26" t="s">
        <v>76</v>
      </c>
      <c r="D16" s="26" t="s">
        <v>111</v>
      </c>
    </row>
    <row r="17" spans="1:4" x14ac:dyDescent="0.3">
      <c r="A17" s="2" t="s">
        <v>40</v>
      </c>
      <c r="B17" s="31">
        <f>SUM(E5,F5,G5,H5)</f>
        <v>511907.42165806063</v>
      </c>
      <c r="D17" s="70">
        <f>E3+F3+G3+H3</f>
        <v>1023814.8433161213</v>
      </c>
    </row>
    <row r="18" spans="1:4" x14ac:dyDescent="0.3">
      <c r="A18" s="2" t="s">
        <v>39</v>
      </c>
      <c r="B18" s="31">
        <f>SUM(I5,J5,K5,L5,M5,N5,O5,P5,Q5,R5)</f>
        <v>1634973.5151969439</v>
      </c>
      <c r="D18" s="31">
        <f>I3+J3+K3+L3+M3+N3+O3+P3+Q3+R3</f>
        <v>3269947.0303938878</v>
      </c>
    </row>
    <row r="19" spans="1:4" x14ac:dyDescent="0.3">
      <c r="A19" s="2" t="s">
        <v>38</v>
      </c>
      <c r="B19" s="31">
        <f>SUM(S3,T3,U3,V3,W3,X3,Y3,Z3,AA3,AB3)</f>
        <v>4612583.2283703322</v>
      </c>
      <c r="D19" s="31">
        <f>S3+T3+U3+V3+W3+X3+Y3+Z3+AA3+AB3</f>
        <v>4612583.2283703322</v>
      </c>
    </row>
    <row r="20" spans="1:4" x14ac:dyDescent="0.3">
      <c r="A20" s="26" t="s">
        <v>41</v>
      </c>
      <c r="B20" s="40">
        <f>SUM(B17:B19)</f>
        <v>6759464.1652253363</v>
      </c>
      <c r="D20" s="70">
        <f>SUM(D17:D19)</f>
        <v>8906345.1020803414</v>
      </c>
    </row>
    <row r="23" spans="1:4" x14ac:dyDescent="0.3">
      <c r="A23" s="26" t="s">
        <v>77</v>
      </c>
      <c r="B23" s="26"/>
    </row>
  </sheetData>
  <pageMargins left="0.7" right="0.7" top="0.75" bottom="0.75" header="0.3" footer="0.3"/>
  <pageSetup paperSize="17"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topLeftCell="S1" zoomScale="110" zoomScaleNormal="110" workbookViewId="0">
      <selection activeCell="E16" sqref="E16"/>
    </sheetView>
  </sheetViews>
  <sheetFormatPr defaultRowHeight="14.4" x14ac:dyDescent="0.3"/>
  <cols>
    <col min="1" max="1" width="49.6640625" customWidth="1"/>
    <col min="2" max="29" width="12.6640625" customWidth="1"/>
  </cols>
  <sheetData>
    <row r="1" spans="1:29" x14ac:dyDescent="0.3">
      <c r="A1" s="3" t="s">
        <v>81</v>
      </c>
    </row>
    <row r="2" spans="1:29" ht="36.6" x14ac:dyDescent="0.3">
      <c r="A2" s="27"/>
      <c r="B2" s="7" t="s">
        <v>29</v>
      </c>
      <c r="C2" s="7" t="s">
        <v>21</v>
      </c>
      <c r="D2" s="7" t="s">
        <v>28</v>
      </c>
      <c r="E2" s="7" t="s">
        <v>27</v>
      </c>
      <c r="F2" s="7" t="s">
        <v>26</v>
      </c>
      <c r="G2" s="7" t="s">
        <v>22</v>
      </c>
      <c r="H2" s="7" t="s">
        <v>23</v>
      </c>
      <c r="I2" s="7" t="s">
        <v>24</v>
      </c>
      <c r="J2" s="7" t="s">
        <v>25</v>
      </c>
      <c r="K2" s="7" t="s">
        <v>3</v>
      </c>
      <c r="L2" s="7" t="s">
        <v>4</v>
      </c>
      <c r="M2" s="7" t="s">
        <v>5</v>
      </c>
      <c r="N2" s="7" t="s">
        <v>6</v>
      </c>
      <c r="O2" s="7" t="s">
        <v>7</v>
      </c>
      <c r="P2" s="7" t="s">
        <v>8</v>
      </c>
      <c r="Q2" s="7" t="s">
        <v>9</v>
      </c>
      <c r="R2" s="12" t="s">
        <v>11</v>
      </c>
      <c r="S2" s="12" t="s">
        <v>12</v>
      </c>
      <c r="T2" s="12" t="s">
        <v>13</v>
      </c>
      <c r="U2" s="12" t="s">
        <v>14</v>
      </c>
      <c r="V2" s="12" t="s">
        <v>15</v>
      </c>
      <c r="W2" s="12" t="s">
        <v>16</v>
      </c>
      <c r="X2" s="12" t="s">
        <v>17</v>
      </c>
      <c r="Y2" s="12" t="s">
        <v>18</v>
      </c>
      <c r="Z2" s="12" t="s">
        <v>19</v>
      </c>
      <c r="AA2" s="12" t="s">
        <v>20</v>
      </c>
      <c r="AB2" s="12" t="s">
        <v>35</v>
      </c>
      <c r="AC2" s="12" t="s">
        <v>34</v>
      </c>
    </row>
    <row r="3" spans="1:29" x14ac:dyDescent="0.3">
      <c r="A3" s="28" t="s">
        <v>30</v>
      </c>
      <c r="B3" s="17">
        <v>6908773</v>
      </c>
      <c r="C3" s="17">
        <f t="shared" ref="C3:E4" si="0">B3*1.035</f>
        <v>7150580.0549999997</v>
      </c>
      <c r="D3" s="17">
        <f t="shared" si="0"/>
        <v>7400850.3569249995</v>
      </c>
      <c r="E3" s="17">
        <f t="shared" si="0"/>
        <v>7659880.119417374</v>
      </c>
      <c r="F3" s="17">
        <f t="shared" ref="F3:AB3" si="1">E3*1.035</f>
        <v>7927975.9235969819</v>
      </c>
      <c r="G3" s="17">
        <f t="shared" si="1"/>
        <v>8205455.0809228756</v>
      </c>
      <c r="H3" s="17">
        <f t="shared" si="1"/>
        <v>8492646.0087551754</v>
      </c>
      <c r="I3" s="17">
        <f t="shared" si="1"/>
        <v>8789888.619061606</v>
      </c>
      <c r="J3" s="17">
        <f t="shared" si="1"/>
        <v>9097534.7207287606</v>
      </c>
      <c r="K3" s="17">
        <f t="shared" si="1"/>
        <v>9415948.4359542672</v>
      </c>
      <c r="L3" s="17">
        <f t="shared" si="1"/>
        <v>9745506.6312126666</v>
      </c>
      <c r="M3" s="17">
        <f t="shared" si="1"/>
        <v>10086599.363305109</v>
      </c>
      <c r="N3" s="17">
        <f t="shared" si="1"/>
        <v>10439630.341020787</v>
      </c>
      <c r="O3" s="17">
        <f t="shared" si="1"/>
        <v>10805017.402956514</v>
      </c>
      <c r="P3" s="17">
        <f t="shared" si="1"/>
        <v>11183193.01205999</v>
      </c>
      <c r="Q3" s="17">
        <f t="shared" si="1"/>
        <v>11574604.767482089</v>
      </c>
      <c r="R3" s="17">
        <f t="shared" si="1"/>
        <v>11979715.93434396</v>
      </c>
      <c r="S3" s="17">
        <f t="shared" si="1"/>
        <v>12399005.992045999</v>
      </c>
      <c r="T3" s="17">
        <f t="shared" si="1"/>
        <v>12832971.201767607</v>
      </c>
      <c r="U3" s="17">
        <f t="shared" si="1"/>
        <v>13282125.193829471</v>
      </c>
      <c r="V3" s="17">
        <f t="shared" si="1"/>
        <v>13746999.575613502</v>
      </c>
      <c r="W3" s="17">
        <f t="shared" si="1"/>
        <v>14228144.560759975</v>
      </c>
      <c r="X3" s="17">
        <f t="shared" si="1"/>
        <v>14726129.620386573</v>
      </c>
      <c r="Y3" s="17">
        <f t="shared" si="1"/>
        <v>15241544.157100102</v>
      </c>
      <c r="Z3" s="17">
        <f t="shared" si="1"/>
        <v>15774998.202598603</v>
      </c>
      <c r="AA3" s="17">
        <f t="shared" si="1"/>
        <v>16327123.139689554</v>
      </c>
      <c r="AB3" s="17">
        <f t="shared" si="1"/>
        <v>16898572.449578688</v>
      </c>
      <c r="AC3" s="18">
        <f>SUM(E3:AB3)</f>
        <v>280861210.45418823</v>
      </c>
    </row>
    <row r="4" spans="1:29" x14ac:dyDescent="0.3">
      <c r="A4" s="39" t="s">
        <v>33</v>
      </c>
      <c r="B4" s="17">
        <v>9766802</v>
      </c>
      <c r="C4" s="17">
        <f t="shared" si="0"/>
        <v>10108640.069999998</v>
      </c>
      <c r="D4" s="17">
        <f t="shared" si="0"/>
        <v>10462442.472449997</v>
      </c>
      <c r="E4" s="17">
        <f t="shared" si="0"/>
        <v>10828627.958985746</v>
      </c>
      <c r="F4" s="17">
        <f t="shared" ref="F4:AB4" si="2">E4*1.035</f>
        <v>11207629.937550247</v>
      </c>
      <c r="G4" s="17">
        <f t="shared" si="2"/>
        <v>11599896.985364504</v>
      </c>
      <c r="H4" s="17">
        <f t="shared" si="2"/>
        <v>12005893.379852261</v>
      </c>
      <c r="I4" s="17">
        <f t="shared" si="2"/>
        <v>12426099.648147089</v>
      </c>
      <c r="J4" s="17">
        <f t="shared" si="2"/>
        <v>12861013.135832237</v>
      </c>
      <c r="K4" s="17">
        <f t="shared" si="2"/>
        <v>13311148.595586365</v>
      </c>
      <c r="L4" s="17">
        <f t="shared" si="2"/>
        <v>13777038.796431886</v>
      </c>
      <c r="M4" s="17">
        <f t="shared" si="2"/>
        <v>14259235.154307</v>
      </c>
      <c r="N4" s="17">
        <f t="shared" si="2"/>
        <v>14758308.384707743</v>
      </c>
      <c r="O4" s="17">
        <f t="shared" si="2"/>
        <v>15274849.178172514</v>
      </c>
      <c r="P4" s="17">
        <f t="shared" si="2"/>
        <v>15809468.899408551</v>
      </c>
      <c r="Q4" s="17">
        <f t="shared" si="2"/>
        <v>16362800.310887849</v>
      </c>
      <c r="R4" s="17">
        <f t="shared" si="2"/>
        <v>16935498.321768921</v>
      </c>
      <c r="S4" s="17">
        <f t="shared" si="2"/>
        <v>17528240.763030831</v>
      </c>
      <c r="T4" s="17">
        <f t="shared" si="2"/>
        <v>18141729.18973691</v>
      </c>
      <c r="U4" s="17">
        <f t="shared" si="2"/>
        <v>18776689.711377699</v>
      </c>
      <c r="V4" s="17">
        <f t="shared" si="2"/>
        <v>19433873.851275917</v>
      </c>
      <c r="W4" s="17">
        <f t="shared" si="2"/>
        <v>20114059.436070573</v>
      </c>
      <c r="X4" s="17">
        <f t="shared" si="2"/>
        <v>20818051.51633304</v>
      </c>
      <c r="Y4" s="17">
        <f t="shared" si="2"/>
        <v>21546683.319404695</v>
      </c>
      <c r="Z4" s="17">
        <f t="shared" si="2"/>
        <v>22300817.235583857</v>
      </c>
      <c r="AA4" s="17">
        <f t="shared" si="2"/>
        <v>23081345.83882929</v>
      </c>
      <c r="AB4" s="17">
        <f t="shared" si="2"/>
        <v>23889192.943188313</v>
      </c>
      <c r="AC4" s="18">
        <f>SUM(E4:AB4)</f>
        <v>397048192.49183398</v>
      </c>
    </row>
    <row r="5" spans="1:29" x14ac:dyDescent="0.3">
      <c r="A5" s="58" t="s">
        <v>10</v>
      </c>
      <c r="B5" s="40">
        <f>SUM(B3:B4)</f>
        <v>16675575</v>
      </c>
      <c r="C5" s="40">
        <f>SUM(C3:C4)</f>
        <v>17259220.125</v>
      </c>
      <c r="D5" s="40">
        <f>SUM(D3:D4)</f>
        <v>17863292.829374999</v>
      </c>
      <c r="E5" s="40">
        <f t="shared" ref="E5:AA5" si="3">SUM(E3:E4)</f>
        <v>18488508.078403119</v>
      </c>
      <c r="F5" s="40">
        <f t="shared" si="3"/>
        <v>19135605.861147229</v>
      </c>
      <c r="G5" s="40">
        <f t="shared" si="3"/>
        <v>19805352.06628738</v>
      </c>
      <c r="H5" s="40">
        <f t="shared" si="3"/>
        <v>20498539.388607435</v>
      </c>
      <c r="I5" s="40">
        <f t="shared" si="3"/>
        <v>21215988.267208695</v>
      </c>
      <c r="J5" s="40">
        <f t="shared" si="3"/>
        <v>21958547.856560998</v>
      </c>
      <c r="K5" s="40">
        <f t="shared" si="3"/>
        <v>22727097.031540632</v>
      </c>
      <c r="L5" s="40">
        <f t="shared" si="3"/>
        <v>23522545.427644551</v>
      </c>
      <c r="M5" s="31">
        <f t="shared" si="3"/>
        <v>24345834.517612107</v>
      </c>
      <c r="N5" s="31">
        <f t="shared" si="3"/>
        <v>25197938.72572853</v>
      </c>
      <c r="O5" s="31">
        <f t="shared" si="3"/>
        <v>26079866.581129029</v>
      </c>
      <c r="P5" s="31">
        <f t="shared" si="3"/>
        <v>26992661.911468543</v>
      </c>
      <c r="Q5" s="31">
        <f t="shared" si="3"/>
        <v>27937405.078369938</v>
      </c>
      <c r="R5" s="31">
        <f t="shared" si="3"/>
        <v>28915214.256112881</v>
      </c>
      <c r="S5" s="31">
        <f t="shared" si="3"/>
        <v>29927246.755076829</v>
      </c>
      <c r="T5" s="31">
        <f t="shared" si="3"/>
        <v>30974700.391504519</v>
      </c>
      <c r="U5" s="31">
        <f t="shared" si="3"/>
        <v>32058814.905207172</v>
      </c>
      <c r="V5" s="31">
        <f t="shared" si="3"/>
        <v>33180873.42688942</v>
      </c>
      <c r="W5" s="31">
        <f t="shared" si="3"/>
        <v>34342203.996830545</v>
      </c>
      <c r="X5" s="31">
        <f t="shared" si="3"/>
        <v>35544181.136719614</v>
      </c>
      <c r="Y5" s="31">
        <f t="shared" si="3"/>
        <v>36788227.476504795</v>
      </c>
      <c r="Z5" s="31">
        <f t="shared" si="3"/>
        <v>38075815.438182458</v>
      </c>
      <c r="AA5" s="31">
        <f t="shared" si="3"/>
        <v>39408468.978518844</v>
      </c>
      <c r="AB5" s="31">
        <f>SUM(AB3:AB4)</f>
        <v>40787765.392766997</v>
      </c>
      <c r="AC5" s="40">
        <f>SUM(AC3:AC4)</f>
        <v>677909402.94602227</v>
      </c>
    </row>
    <row r="6" spans="1:29" x14ac:dyDescent="0.3">
      <c r="A6" s="43"/>
      <c r="B6" s="40"/>
      <c r="C6" s="31"/>
      <c r="D6" s="31"/>
      <c r="E6" s="31"/>
      <c r="F6" s="31"/>
      <c r="G6" s="31"/>
      <c r="H6" s="31"/>
      <c r="I6" s="31"/>
      <c r="J6" s="31"/>
      <c r="K6" s="31"/>
      <c r="L6" s="31"/>
      <c r="M6" s="31"/>
      <c r="N6" s="31"/>
      <c r="O6" s="31"/>
      <c r="P6" s="31"/>
      <c r="Q6" s="31"/>
      <c r="R6" s="31"/>
      <c r="S6" s="31"/>
      <c r="T6" s="31"/>
      <c r="U6" s="31"/>
      <c r="V6" s="31"/>
      <c r="W6" s="31"/>
      <c r="X6" s="31"/>
      <c r="Y6" s="31"/>
      <c r="Z6" s="31"/>
      <c r="AA6" s="31"/>
      <c r="AB6" s="31"/>
      <c r="AC6" s="40"/>
    </row>
    <row r="7" spans="1:29" x14ac:dyDescent="0.3">
      <c r="A7" s="43" t="s">
        <v>86</v>
      </c>
      <c r="B7" s="40"/>
      <c r="C7" s="31"/>
      <c r="D7" s="31"/>
      <c r="E7" s="31"/>
      <c r="F7" s="31"/>
      <c r="G7" s="31"/>
      <c r="H7" s="31"/>
      <c r="I7" s="31"/>
      <c r="J7" s="31"/>
      <c r="K7" s="31"/>
      <c r="L7" s="31"/>
      <c r="M7" s="31"/>
      <c r="N7" s="31"/>
      <c r="O7" s="31"/>
      <c r="P7" s="31"/>
      <c r="Q7" s="31"/>
      <c r="R7" s="31"/>
      <c r="S7" s="31"/>
      <c r="T7" s="31"/>
      <c r="U7" s="31"/>
      <c r="V7" s="31"/>
      <c r="W7" s="31"/>
      <c r="X7" s="31"/>
      <c r="Y7" s="31"/>
      <c r="Z7" s="31"/>
      <c r="AA7" s="31"/>
      <c r="AB7" s="31"/>
      <c r="AC7" s="40"/>
    </row>
    <row r="8" spans="1:29" x14ac:dyDescent="0.3">
      <c r="A8" s="53" t="s">
        <v>83</v>
      </c>
      <c r="B8" s="17">
        <v>4574850</v>
      </c>
      <c r="C8" s="17">
        <f>B8*1.035</f>
        <v>4734969.75</v>
      </c>
      <c r="D8" s="17">
        <f>C8*1.035</f>
        <v>4900693.6912499992</v>
      </c>
      <c r="E8" s="17">
        <f>D8*1.035</f>
        <v>5072217.9704437489</v>
      </c>
      <c r="F8" s="17">
        <f t="shared" ref="F8:AB8" si="4">E8*1.035</f>
        <v>5249745.5994092794</v>
      </c>
      <c r="G8" s="17">
        <f t="shared" si="4"/>
        <v>5433486.695388604</v>
      </c>
      <c r="H8" s="17">
        <f t="shared" si="4"/>
        <v>5623658.7297272049</v>
      </c>
      <c r="I8" s="17">
        <f t="shared" si="4"/>
        <v>5820486.7852676567</v>
      </c>
      <c r="J8" s="17">
        <f t="shared" si="4"/>
        <v>6024203.822752024</v>
      </c>
      <c r="K8" s="17">
        <f t="shared" si="4"/>
        <v>6235050.9565483443</v>
      </c>
      <c r="L8" s="17">
        <f t="shared" si="4"/>
        <v>6453277.7400275357</v>
      </c>
      <c r="M8" s="17">
        <f t="shared" si="4"/>
        <v>6679142.4609284988</v>
      </c>
      <c r="N8" s="17">
        <f t="shared" si="4"/>
        <v>6912912.4470609957</v>
      </c>
      <c r="O8" s="17">
        <f t="shared" si="4"/>
        <v>7154864.3827081304</v>
      </c>
      <c r="P8" s="17">
        <f t="shared" si="4"/>
        <v>7405284.6361029148</v>
      </c>
      <c r="Q8" s="17">
        <f t="shared" si="4"/>
        <v>7664469.5983665166</v>
      </c>
      <c r="R8" s="17">
        <f t="shared" si="4"/>
        <v>7932726.0343093444</v>
      </c>
      <c r="S8" s="17">
        <f t="shared" si="4"/>
        <v>8210371.4455101704</v>
      </c>
      <c r="T8" s="17">
        <f t="shared" si="4"/>
        <v>8497734.4461030252</v>
      </c>
      <c r="U8" s="17">
        <f t="shared" si="4"/>
        <v>8795155.1517166309</v>
      </c>
      <c r="V8" s="17">
        <f t="shared" si="4"/>
        <v>9102985.5820267126</v>
      </c>
      <c r="W8" s="17">
        <f t="shared" si="4"/>
        <v>9421590.0773976464</v>
      </c>
      <c r="X8" s="17">
        <f t="shared" si="4"/>
        <v>9751345.7301065624</v>
      </c>
      <c r="Y8" s="17">
        <f t="shared" si="4"/>
        <v>10092642.830660291</v>
      </c>
      <c r="Z8" s="17">
        <f t="shared" si="4"/>
        <v>10445885.3297334</v>
      </c>
      <c r="AA8" s="17">
        <f t="shared" si="4"/>
        <v>10811491.316274067</v>
      </c>
      <c r="AB8" s="17">
        <f t="shared" si="4"/>
        <v>11189893.512343658</v>
      </c>
      <c r="AC8" s="18">
        <f>SUM(E8:AB8)</f>
        <v>185980623.28091294</v>
      </c>
    </row>
    <row r="9" spans="1:29" x14ac:dyDescent="0.3">
      <c r="A9" s="53" t="s">
        <v>84</v>
      </c>
      <c r="B9" s="17">
        <v>1109818</v>
      </c>
      <c r="C9" s="17">
        <f>B9*1.035</f>
        <v>1148661.6299999999</v>
      </c>
      <c r="D9" s="17">
        <f t="shared" ref="D9:AB9" si="5">C9*1.035</f>
        <v>1188864.7870499997</v>
      </c>
      <c r="E9" s="17">
        <f t="shared" si="5"/>
        <v>1230475.0545967496</v>
      </c>
      <c r="F9" s="17">
        <f t="shared" si="5"/>
        <v>1273541.6815076356</v>
      </c>
      <c r="G9" s="17">
        <f t="shared" si="5"/>
        <v>1318115.6403604029</v>
      </c>
      <c r="H9" s="17">
        <f t="shared" si="5"/>
        <v>1364249.687773017</v>
      </c>
      <c r="I9" s="17">
        <f t="shared" si="5"/>
        <v>1411998.4268450725</v>
      </c>
      <c r="J9" s="17">
        <f t="shared" si="5"/>
        <v>1461418.37178465</v>
      </c>
      <c r="K9" s="17">
        <f t="shared" si="5"/>
        <v>1512568.0147971127</v>
      </c>
      <c r="L9" s="17">
        <f t="shared" si="5"/>
        <v>1565507.8953150115</v>
      </c>
      <c r="M9" s="17">
        <f t="shared" si="5"/>
        <v>1620300.6716510367</v>
      </c>
      <c r="N9" s="17">
        <f t="shared" si="5"/>
        <v>1677011.1951588229</v>
      </c>
      <c r="O9" s="17">
        <f t="shared" si="5"/>
        <v>1735706.5869893816</v>
      </c>
      <c r="P9" s="17">
        <f t="shared" si="5"/>
        <v>1796456.3175340097</v>
      </c>
      <c r="Q9" s="17">
        <f t="shared" si="5"/>
        <v>1859332.2886476999</v>
      </c>
      <c r="R9" s="17">
        <f t="shared" si="5"/>
        <v>1924408.9187503692</v>
      </c>
      <c r="S9" s="17">
        <f t="shared" si="5"/>
        <v>1991763.230906632</v>
      </c>
      <c r="T9" s="17">
        <f t="shared" si="5"/>
        <v>2061474.943988364</v>
      </c>
      <c r="U9" s="17">
        <f t="shared" si="5"/>
        <v>2133626.5670279567</v>
      </c>
      <c r="V9" s="17">
        <f t="shared" si="5"/>
        <v>2208303.4968739352</v>
      </c>
      <c r="W9" s="17">
        <f t="shared" si="5"/>
        <v>2285594.1192645226</v>
      </c>
      <c r="X9" s="17">
        <f t="shared" si="5"/>
        <v>2365589.9134387807</v>
      </c>
      <c r="Y9" s="17">
        <f t="shared" si="5"/>
        <v>2448385.560409138</v>
      </c>
      <c r="Z9" s="17">
        <f t="shared" si="5"/>
        <v>2534079.0550234574</v>
      </c>
      <c r="AA9" s="17">
        <f t="shared" si="5"/>
        <v>2622771.821949278</v>
      </c>
      <c r="AB9" s="17">
        <f t="shared" si="5"/>
        <v>2714568.8357175025</v>
      </c>
      <c r="AC9" s="18">
        <f>SUM(E9:AB9)</f>
        <v>45117248.296310537</v>
      </c>
    </row>
    <row r="10" spans="1:29" x14ac:dyDescent="0.3">
      <c r="A10" s="43" t="s">
        <v>98</v>
      </c>
      <c r="B10" s="40">
        <f>SUM(B8:B9)</f>
        <v>5684668</v>
      </c>
      <c r="C10" s="40">
        <f t="shared" ref="C10:R10" si="6">SUM(C8:C9)</f>
        <v>5883631.3799999999</v>
      </c>
      <c r="D10" s="40">
        <f t="shared" si="6"/>
        <v>6089558.4782999987</v>
      </c>
      <c r="E10" s="40">
        <f t="shared" si="6"/>
        <v>6302693.025040498</v>
      </c>
      <c r="F10" s="40">
        <f t="shared" si="6"/>
        <v>6523287.2809169153</v>
      </c>
      <c r="G10" s="40">
        <f t="shared" si="6"/>
        <v>6751602.3357490068</v>
      </c>
      <c r="H10" s="40">
        <f t="shared" si="6"/>
        <v>6987908.4175002221</v>
      </c>
      <c r="I10" s="40">
        <f t="shared" si="6"/>
        <v>7232485.2121127294</v>
      </c>
      <c r="J10" s="40">
        <f t="shared" si="6"/>
        <v>7485622.1945366738</v>
      </c>
      <c r="K10" s="40">
        <f t="shared" si="6"/>
        <v>7747618.9713454572</v>
      </c>
      <c r="L10" s="40">
        <f t="shared" si="6"/>
        <v>8018785.6353425477</v>
      </c>
      <c r="M10" s="40">
        <f t="shared" si="6"/>
        <v>8299443.1325795352</v>
      </c>
      <c r="N10" s="40">
        <f t="shared" si="6"/>
        <v>8589923.6422198191</v>
      </c>
      <c r="O10" s="40">
        <f t="shared" si="6"/>
        <v>8890570.9696975127</v>
      </c>
      <c r="P10" s="40">
        <f t="shared" si="6"/>
        <v>9201740.9536369238</v>
      </c>
      <c r="Q10" s="40">
        <f t="shared" si="6"/>
        <v>9523801.8870142158</v>
      </c>
      <c r="R10" s="40">
        <f t="shared" si="6"/>
        <v>9857134.9530597143</v>
      </c>
      <c r="S10" s="40">
        <f>SUM(S8:S9)</f>
        <v>10202134.676416803</v>
      </c>
      <c r="T10" s="40">
        <f t="shared" ref="T10" si="7">SUM(T8:T9)</f>
        <v>10559209.390091389</v>
      </c>
      <c r="U10" s="40">
        <f t="shared" ref="U10" si="8">SUM(U8:U9)</f>
        <v>10928781.718744587</v>
      </c>
      <c r="V10" s="40">
        <f t="shared" ref="V10" si="9">SUM(V8:V9)</f>
        <v>11311289.078900648</v>
      </c>
      <c r="W10" s="40">
        <f t="shared" ref="W10" si="10">SUM(W8:W9)</f>
        <v>11707184.196662169</v>
      </c>
      <c r="X10" s="40">
        <f t="shared" ref="X10" si="11">SUM(X8:X9)</f>
        <v>12116935.643545343</v>
      </c>
      <c r="Y10" s="40">
        <f t="shared" ref="Y10" si="12">SUM(Y8:Y9)</f>
        <v>12541028.391069429</v>
      </c>
      <c r="Z10" s="40">
        <f t="shared" ref="Z10" si="13">SUM(Z8:Z9)</f>
        <v>12979964.384756858</v>
      </c>
      <c r="AA10" s="40">
        <f t="shared" ref="AA10" si="14">SUM(AA8:AA9)</f>
        <v>13434263.138223346</v>
      </c>
      <c r="AB10" s="40">
        <f t="shared" ref="AB10" si="15">SUM(AB8:AB9)</f>
        <v>13904462.348061161</v>
      </c>
      <c r="AC10" s="40">
        <f t="shared" ref="AC10" si="16">SUM(AC8:AC9)</f>
        <v>231097871.57722348</v>
      </c>
    </row>
    <row r="11" spans="1:29" x14ac:dyDescent="0.3">
      <c r="A11" s="43"/>
      <c r="B11" s="22"/>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22"/>
    </row>
    <row r="12" spans="1:29" x14ac:dyDescent="0.3">
      <c r="A12" s="39" t="s">
        <v>92</v>
      </c>
      <c r="B12" s="18"/>
      <c r="C12" s="17">
        <v>7160639</v>
      </c>
      <c r="D12" s="17">
        <v>7160639</v>
      </c>
      <c r="E12" s="17">
        <v>7160639</v>
      </c>
      <c r="F12" s="17">
        <v>7160639</v>
      </c>
      <c r="G12" s="21"/>
      <c r="H12" s="21"/>
      <c r="I12" s="21"/>
      <c r="J12" s="21"/>
      <c r="K12" s="21"/>
      <c r="L12" s="21"/>
      <c r="M12" s="21"/>
      <c r="N12" s="21"/>
      <c r="O12" s="21"/>
      <c r="P12" s="21"/>
      <c r="Q12" s="21"/>
      <c r="R12" s="21"/>
      <c r="S12" s="21"/>
      <c r="T12" s="21"/>
      <c r="U12" s="21"/>
      <c r="V12" s="21"/>
      <c r="W12" s="21"/>
      <c r="X12" s="21"/>
      <c r="Y12" s="21"/>
      <c r="Z12" s="21"/>
      <c r="AA12" s="21"/>
      <c r="AB12" s="21"/>
      <c r="AC12" s="54"/>
    </row>
    <row r="13" spans="1:29" x14ac:dyDescent="0.3">
      <c r="B13" s="22"/>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22"/>
    </row>
    <row r="14" spans="1:29" x14ac:dyDescent="0.3">
      <c r="A14" s="43" t="s">
        <v>87</v>
      </c>
      <c r="B14" s="22"/>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22"/>
    </row>
    <row r="15" spans="1:29" x14ac:dyDescent="0.3">
      <c r="A15" s="53" t="s">
        <v>88</v>
      </c>
      <c r="B15" s="21">
        <v>0</v>
      </c>
      <c r="C15" s="21">
        <v>0</v>
      </c>
      <c r="D15" s="21">
        <v>0</v>
      </c>
      <c r="E15" s="21">
        <v>0</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row>
    <row r="16" spans="1:29" x14ac:dyDescent="0.3">
      <c r="A16" s="53" t="s">
        <v>90</v>
      </c>
      <c r="B16" s="54">
        <v>3762000</v>
      </c>
      <c r="C16" s="21">
        <f>B16*1.035</f>
        <v>3893669.9999999995</v>
      </c>
      <c r="D16" s="21">
        <f t="shared" ref="D16:AB16" si="17">C16*1.035</f>
        <v>4029948.4499999993</v>
      </c>
      <c r="E16" s="21">
        <f t="shared" si="17"/>
        <v>4170996.6457499987</v>
      </c>
      <c r="F16" s="21">
        <f t="shared" si="17"/>
        <v>4316981.5283512482</v>
      </c>
      <c r="G16" s="21">
        <f t="shared" si="17"/>
        <v>4468075.8818435417</v>
      </c>
      <c r="H16" s="21">
        <f t="shared" si="17"/>
        <v>4624458.5377080655</v>
      </c>
      <c r="I16" s="21">
        <f t="shared" si="17"/>
        <v>4786314.5865278477</v>
      </c>
      <c r="J16" s="21">
        <f t="shared" si="17"/>
        <v>4953835.5970563218</v>
      </c>
      <c r="K16" s="21">
        <f t="shared" si="17"/>
        <v>5127219.8429532927</v>
      </c>
      <c r="L16" s="21">
        <f t="shared" si="17"/>
        <v>5306672.5374566577</v>
      </c>
      <c r="M16" s="21">
        <f t="shared" si="17"/>
        <v>5492406.0762676401</v>
      </c>
      <c r="N16" s="21">
        <f t="shared" si="17"/>
        <v>5684640.2889370071</v>
      </c>
      <c r="O16" s="21">
        <f t="shared" si="17"/>
        <v>5883602.6990498016</v>
      </c>
      <c r="P16" s="21">
        <f t="shared" si="17"/>
        <v>6089528.7935165437</v>
      </c>
      <c r="Q16" s="21">
        <f t="shared" si="17"/>
        <v>6302662.3012896227</v>
      </c>
      <c r="R16" s="21">
        <f t="shared" si="17"/>
        <v>6523255.481834759</v>
      </c>
      <c r="S16" s="21">
        <f t="shared" si="17"/>
        <v>6751569.4236989748</v>
      </c>
      <c r="T16" s="21">
        <f t="shared" si="17"/>
        <v>6987874.3535284381</v>
      </c>
      <c r="U16" s="21">
        <f t="shared" si="17"/>
        <v>7232449.9559019329</v>
      </c>
      <c r="V16" s="21">
        <f t="shared" si="17"/>
        <v>7485585.7043585004</v>
      </c>
      <c r="W16" s="21">
        <f t="shared" si="17"/>
        <v>7747581.2040110473</v>
      </c>
      <c r="X16" s="21">
        <f t="shared" si="17"/>
        <v>8018746.5461514331</v>
      </c>
      <c r="Y16" s="21">
        <f t="shared" si="17"/>
        <v>8299402.6752667325</v>
      </c>
      <c r="Z16" s="21">
        <f t="shared" si="17"/>
        <v>8589881.7689010669</v>
      </c>
      <c r="AA16" s="21">
        <f t="shared" si="17"/>
        <v>8890527.630812604</v>
      </c>
      <c r="AB16" s="21">
        <f t="shared" si="17"/>
        <v>9201696.0978910439</v>
      </c>
      <c r="AC16" s="18">
        <f>SUM(E16:AB16)</f>
        <v>152935966.15906411</v>
      </c>
    </row>
    <row r="17" spans="1:29" x14ac:dyDescent="0.3">
      <c r="A17" s="43" t="s">
        <v>10</v>
      </c>
      <c r="B17" s="22">
        <f>SUM(B15:B16)</f>
        <v>3762000</v>
      </c>
      <c r="C17" s="22">
        <f t="shared" ref="C17:AB17" si="18">SUM(C15:C16)</f>
        <v>3893669.9999999995</v>
      </c>
      <c r="D17" s="22">
        <f t="shared" si="18"/>
        <v>4029948.4499999993</v>
      </c>
      <c r="E17" s="22">
        <f t="shared" si="18"/>
        <v>4170996.6457499987</v>
      </c>
      <c r="F17" s="22">
        <f t="shared" si="18"/>
        <v>4316981.5283512482</v>
      </c>
      <c r="G17" s="22">
        <f t="shared" si="18"/>
        <v>4468075.8818435417</v>
      </c>
      <c r="H17" s="22">
        <f t="shared" si="18"/>
        <v>4624458.5377080655</v>
      </c>
      <c r="I17" s="22">
        <f t="shared" si="18"/>
        <v>4786314.5865278477</v>
      </c>
      <c r="J17" s="22">
        <f t="shared" si="18"/>
        <v>4953835.5970563218</v>
      </c>
      <c r="K17" s="22">
        <f t="shared" si="18"/>
        <v>5127219.8429532927</v>
      </c>
      <c r="L17" s="22">
        <f t="shared" si="18"/>
        <v>5306672.5374566577</v>
      </c>
      <c r="M17" s="22">
        <f t="shared" si="18"/>
        <v>5492406.0762676401</v>
      </c>
      <c r="N17" s="22">
        <f t="shared" si="18"/>
        <v>5684640.2889370071</v>
      </c>
      <c r="O17" s="22">
        <f t="shared" si="18"/>
        <v>5883602.6990498016</v>
      </c>
      <c r="P17" s="22">
        <f t="shared" si="18"/>
        <v>6089528.7935165437</v>
      </c>
      <c r="Q17" s="22">
        <f t="shared" si="18"/>
        <v>6302662.3012896227</v>
      </c>
      <c r="R17" s="22">
        <f t="shared" si="18"/>
        <v>6523255.481834759</v>
      </c>
      <c r="S17" s="22">
        <f t="shared" si="18"/>
        <v>6751569.4236989748</v>
      </c>
      <c r="T17" s="22">
        <f t="shared" si="18"/>
        <v>6987874.3535284381</v>
      </c>
      <c r="U17" s="22">
        <f t="shared" si="18"/>
        <v>7232449.9559019329</v>
      </c>
      <c r="V17" s="22">
        <f t="shared" si="18"/>
        <v>7485585.7043585004</v>
      </c>
      <c r="W17" s="22">
        <f t="shared" si="18"/>
        <v>7747581.2040110473</v>
      </c>
      <c r="X17" s="22">
        <f t="shared" si="18"/>
        <v>8018746.5461514331</v>
      </c>
      <c r="Y17" s="22">
        <f t="shared" si="18"/>
        <v>8299402.6752667325</v>
      </c>
      <c r="Z17" s="22">
        <f t="shared" si="18"/>
        <v>8589881.7689010669</v>
      </c>
      <c r="AA17" s="22">
        <f t="shared" si="18"/>
        <v>8890527.630812604</v>
      </c>
      <c r="AB17" s="22">
        <f t="shared" si="18"/>
        <v>9201696.0978910439</v>
      </c>
      <c r="AC17" s="22">
        <f>SUM(AC15:AC16)</f>
        <v>152935966.15906411</v>
      </c>
    </row>
    <row r="18" spans="1:29" x14ac:dyDescent="0.3">
      <c r="A18" s="43"/>
      <c r="B18" s="22"/>
      <c r="C18" s="22"/>
      <c r="D18" s="22"/>
      <c r="E18" s="22"/>
      <c r="F18" s="22"/>
      <c r="G18" s="22"/>
      <c r="H18" s="22"/>
      <c r="I18" s="22">
        <f>E17+F17+G17+H17+I17</f>
        <v>22366827.180180702</v>
      </c>
      <c r="J18" s="22"/>
      <c r="K18" s="22"/>
      <c r="L18" s="22"/>
      <c r="M18" s="22"/>
      <c r="N18" s="22">
        <f>J17+K17+L17+M17+N17</f>
        <v>26564774.342670918</v>
      </c>
      <c r="O18" s="22"/>
      <c r="P18" s="22"/>
      <c r="Q18" s="22"/>
      <c r="R18" s="22"/>
      <c r="S18" s="22">
        <f>O17+P17+Q17+R17+S17</f>
        <v>31550618.699389704</v>
      </c>
      <c r="T18" s="22"/>
      <c r="U18" s="22"/>
      <c r="V18" s="22"/>
      <c r="W18" s="22"/>
      <c r="X18" s="22">
        <f>T17+U17+V17+W17+X17</f>
        <v>37472237.763951346</v>
      </c>
      <c r="Y18" s="22"/>
      <c r="Z18" s="22"/>
      <c r="AA18" s="22"/>
      <c r="AB18" s="22">
        <f>Y17+Z17+AA17+AB17</f>
        <v>34981508.172871448</v>
      </c>
      <c r="AC18" s="22"/>
    </row>
    <row r="19" spans="1:29" x14ac:dyDescent="0.3">
      <c r="A19" s="2" t="s">
        <v>78</v>
      </c>
      <c r="B19" s="2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22"/>
    </row>
    <row r="20" spans="1:29" x14ac:dyDescent="0.3">
      <c r="A20" s="2" t="s">
        <v>82</v>
      </c>
      <c r="B20" s="22"/>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22"/>
    </row>
    <row r="21" spans="1:29" x14ac:dyDescent="0.3">
      <c r="A21" s="2" t="s">
        <v>119</v>
      </c>
      <c r="B21" s="22"/>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22"/>
    </row>
    <row r="22" spans="1:29" x14ac:dyDescent="0.3">
      <c r="A22" s="52" t="s">
        <v>85</v>
      </c>
      <c r="B22" s="22"/>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22"/>
    </row>
    <row r="23" spans="1:29" x14ac:dyDescent="0.3">
      <c r="A23" s="2" t="s">
        <v>89</v>
      </c>
      <c r="B23" s="22"/>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22"/>
    </row>
    <row r="24" spans="1:29" x14ac:dyDescent="0.3">
      <c r="A24" s="52" t="s">
        <v>91</v>
      </c>
      <c r="B24" s="22"/>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22"/>
    </row>
    <row r="25" spans="1:29" x14ac:dyDescent="0.3">
      <c r="A25" s="52" t="s">
        <v>95</v>
      </c>
      <c r="B25" s="22"/>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22"/>
    </row>
    <row r="26" spans="1:29" x14ac:dyDescent="0.3">
      <c r="A26" s="15"/>
      <c r="B26" s="2"/>
      <c r="C26" s="51" t="s">
        <v>57</v>
      </c>
      <c r="D26" s="51" t="s">
        <v>42</v>
      </c>
      <c r="E26" s="51" t="s">
        <v>48</v>
      </c>
    </row>
    <row r="27" spans="1:29" x14ac:dyDescent="0.3">
      <c r="A27" s="2" t="s">
        <v>40</v>
      </c>
      <c r="C27" s="14">
        <f>SUM(E3,F3,G3,H3)</f>
        <v>32285957.132692404</v>
      </c>
      <c r="D27" s="14">
        <f>SUM(E4,F4,G4,H4)</f>
        <v>45642048.261752754</v>
      </c>
      <c r="E27" s="14">
        <f>SUM(E5,F5,G5,H5,)</f>
        <v>77928005.394445151</v>
      </c>
    </row>
    <row r="28" spans="1:29" x14ac:dyDescent="0.3">
      <c r="A28" s="2" t="s">
        <v>39</v>
      </c>
      <c r="C28" s="14">
        <f>SUM(I3,J3,K3,L3,M3,N3,O3,P3,Q3,R3)</f>
        <v>103117639.22812574</v>
      </c>
      <c r="D28" s="14">
        <f>SUM(I4,J4,K4,L4,M4,N4,O4,P4,Q4,R4)</f>
        <v>145775460.42525014</v>
      </c>
      <c r="E28" s="14">
        <f>SUM(I5,J5,K5,L5,M5,N5,O5,P5,Q5,R5)</f>
        <v>248893099.65337592</v>
      </c>
    </row>
    <row r="29" spans="1:29" x14ac:dyDescent="0.3">
      <c r="A29" s="2" t="s">
        <v>38</v>
      </c>
      <c r="C29" s="14">
        <f>SUM(S3,T3,U3,V3,W3,X3,Y3,Z3,AA3,AB3)</f>
        <v>145457614.09337008</v>
      </c>
      <c r="D29" s="14">
        <f>SUM(S4,T4,U4,V4,W4,X4,Y4,Z4,AA4,AB4)</f>
        <v>205630683.80483115</v>
      </c>
      <c r="E29" s="14">
        <f>SUM(S5,T5,U5,V5,W5,X5,Y5,Z5,AA5,AB5)</f>
        <v>351088297.89820123</v>
      </c>
      <c r="AB29" s="57"/>
      <c r="AC29" s="57"/>
    </row>
    <row r="30" spans="1:29" x14ac:dyDescent="0.3">
      <c r="A30" s="26" t="s">
        <v>41</v>
      </c>
      <c r="C30" s="22">
        <f>SUM(C27:C29)</f>
        <v>280861210.45418823</v>
      </c>
      <c r="D30" s="22">
        <f>SUM(D27:D29)</f>
        <v>397048192.49183404</v>
      </c>
      <c r="E30" s="22">
        <f>SUM(E27:E29)</f>
        <v>677909402.94602227</v>
      </c>
      <c r="AB30" s="57"/>
      <c r="AC30" s="57"/>
    </row>
    <row r="31" spans="1:29" x14ac:dyDescent="0.3">
      <c r="F31" s="57"/>
      <c r="G31" s="57"/>
      <c r="H31" s="57"/>
      <c r="I31" s="57"/>
      <c r="J31" s="57"/>
      <c r="K31" s="57"/>
      <c r="L31" s="57"/>
      <c r="M31" s="57"/>
      <c r="N31" s="57"/>
      <c r="AB31" s="57"/>
      <c r="AC31" s="57"/>
    </row>
    <row r="32" spans="1:29" x14ac:dyDescent="0.3">
      <c r="F32" s="57"/>
      <c r="G32" s="55"/>
      <c r="H32" s="55"/>
      <c r="I32" s="55"/>
      <c r="J32" s="55"/>
      <c r="K32" s="55"/>
      <c r="L32" s="55"/>
      <c r="M32" s="55"/>
      <c r="N32" s="55"/>
      <c r="O32" s="55"/>
      <c r="P32" s="55"/>
      <c r="Q32" s="55"/>
      <c r="R32" s="55"/>
      <c r="S32" s="55"/>
      <c r="T32" s="55"/>
      <c r="U32" s="55"/>
      <c r="V32" s="55"/>
      <c r="W32" s="55"/>
      <c r="X32" s="55"/>
      <c r="Y32" s="55"/>
      <c r="Z32" s="55"/>
      <c r="AA32" s="55"/>
      <c r="AB32" s="55"/>
      <c r="AC32" s="55"/>
    </row>
    <row r="33" spans="1:29" x14ac:dyDescent="0.3">
      <c r="F33" s="57"/>
      <c r="G33" s="37"/>
      <c r="H33" s="37"/>
      <c r="I33" s="37"/>
      <c r="J33" s="37"/>
      <c r="K33" s="37"/>
      <c r="L33" s="37"/>
      <c r="M33" s="37"/>
      <c r="N33" s="37"/>
      <c r="O33" s="37"/>
      <c r="P33" s="37"/>
      <c r="Q33" s="37"/>
      <c r="R33" s="37"/>
      <c r="S33" s="37"/>
      <c r="T33" s="37"/>
      <c r="U33" s="37"/>
      <c r="V33" s="37"/>
      <c r="W33" s="37"/>
      <c r="X33" s="37"/>
      <c r="Y33" s="37"/>
      <c r="Z33" s="37"/>
      <c r="AA33" s="37"/>
      <c r="AB33" s="37"/>
      <c r="AC33" s="20"/>
    </row>
    <row r="34" spans="1:29" x14ac:dyDescent="0.3">
      <c r="F34" s="57"/>
      <c r="G34" s="37"/>
      <c r="H34" s="37"/>
      <c r="I34" s="37"/>
      <c r="J34" s="37"/>
      <c r="K34" s="37"/>
      <c r="L34" s="37"/>
      <c r="M34" s="37"/>
      <c r="N34" s="37"/>
      <c r="O34" s="37"/>
      <c r="P34" s="37"/>
      <c r="Q34" s="37"/>
      <c r="R34" s="37"/>
      <c r="S34" s="37"/>
      <c r="T34" s="37"/>
      <c r="U34" s="37"/>
      <c r="V34" s="37"/>
      <c r="W34" s="37"/>
      <c r="X34" s="37"/>
      <c r="Y34" s="37"/>
      <c r="Z34" s="37"/>
      <c r="AA34" s="37"/>
      <c r="AB34" s="37"/>
      <c r="AC34" s="37"/>
    </row>
    <row r="35" spans="1:29" x14ac:dyDescent="0.3">
      <c r="F35" s="57"/>
      <c r="G35" s="55"/>
      <c r="H35" s="55"/>
      <c r="I35" s="55"/>
      <c r="J35" s="55"/>
      <c r="K35" s="55"/>
      <c r="L35" s="55"/>
      <c r="M35" s="55"/>
      <c r="N35" s="55"/>
      <c r="O35" s="55"/>
      <c r="P35" s="55"/>
      <c r="Q35" s="55"/>
      <c r="R35" s="55"/>
      <c r="S35" s="55"/>
      <c r="T35" s="56"/>
      <c r="U35" s="55"/>
      <c r="V35" s="55"/>
      <c r="W35" s="55"/>
      <c r="X35" s="55"/>
      <c r="Y35" s="55"/>
      <c r="Z35" s="55"/>
      <c r="AA35" s="55"/>
      <c r="AB35" s="55"/>
      <c r="AC35" s="55"/>
    </row>
    <row r="36" spans="1:29" x14ac:dyDescent="0.3">
      <c r="A36" s="2"/>
      <c r="B36" s="14"/>
      <c r="C36" s="2"/>
      <c r="D36" s="2"/>
      <c r="E36" s="2"/>
      <c r="F36" s="2"/>
      <c r="G36" s="2"/>
      <c r="H36" s="2"/>
      <c r="I36" s="2"/>
      <c r="J36" s="2"/>
      <c r="K36" s="2"/>
      <c r="L36" s="2"/>
      <c r="M36" s="55"/>
      <c r="N36" s="55"/>
      <c r="O36" s="55"/>
      <c r="P36" s="55"/>
      <c r="Q36" s="55"/>
      <c r="R36" s="55"/>
      <c r="S36" s="55"/>
      <c r="T36" s="55"/>
      <c r="U36" s="55"/>
      <c r="V36" s="55"/>
      <c r="W36" s="55"/>
      <c r="X36" s="37"/>
      <c r="Y36" s="37"/>
      <c r="Z36" s="55"/>
      <c r="AA36" s="55"/>
      <c r="AB36" s="55"/>
      <c r="AC36" s="55"/>
    </row>
    <row r="37" spans="1:29" x14ac:dyDescent="0.3">
      <c r="A37" s="2"/>
      <c r="B37" s="14"/>
      <c r="C37" s="2"/>
      <c r="D37" s="2"/>
      <c r="E37" s="2"/>
      <c r="F37" s="2"/>
      <c r="G37" s="2"/>
      <c r="H37" s="2"/>
      <c r="I37" s="2"/>
      <c r="J37" s="2"/>
      <c r="K37" s="2"/>
      <c r="L37" s="2"/>
      <c r="M37" s="55"/>
      <c r="N37" s="55"/>
      <c r="O37" s="55"/>
      <c r="P37" s="55"/>
      <c r="Q37" s="55"/>
      <c r="R37" s="55"/>
      <c r="S37" s="55"/>
      <c r="T37" s="57"/>
      <c r="U37" s="55"/>
      <c r="V37" s="55"/>
      <c r="W37" s="55"/>
      <c r="X37" s="37"/>
      <c r="Y37" s="37"/>
      <c r="Z37" s="55"/>
      <c r="AA37" s="55"/>
      <c r="AB37" s="55"/>
      <c r="AC37" s="55"/>
    </row>
    <row r="38" spans="1:29" x14ac:dyDescent="0.3">
      <c r="A38" s="2"/>
      <c r="B38" s="14"/>
      <c r="C38" s="2"/>
      <c r="D38" s="2"/>
      <c r="E38" s="2"/>
      <c r="F38" s="2"/>
      <c r="G38" s="2"/>
      <c r="H38" s="2"/>
      <c r="I38" s="2"/>
      <c r="J38" s="2"/>
      <c r="K38" s="2"/>
      <c r="L38" s="2"/>
      <c r="M38" s="55"/>
      <c r="N38" s="55"/>
      <c r="O38" s="55"/>
      <c r="P38" s="55"/>
      <c r="Q38" s="55"/>
      <c r="R38" s="55"/>
      <c r="S38" s="55"/>
      <c r="T38" s="57"/>
      <c r="U38" s="55"/>
      <c r="V38" s="55"/>
      <c r="W38" s="55"/>
      <c r="X38" s="55"/>
      <c r="Y38" s="55"/>
      <c r="Z38" s="55"/>
      <c r="AA38" s="55"/>
      <c r="AB38" s="55"/>
      <c r="AC38" s="55"/>
    </row>
    <row r="39" spans="1:29" x14ac:dyDescent="0.3">
      <c r="A39" s="26"/>
      <c r="B39" s="22"/>
      <c r="C39" s="2"/>
      <c r="D39" s="2"/>
      <c r="E39" s="2"/>
      <c r="F39" s="2"/>
      <c r="G39" s="2"/>
      <c r="H39" s="2"/>
      <c r="I39" s="2"/>
      <c r="J39" s="2"/>
      <c r="K39" s="2"/>
      <c r="L39" s="2"/>
      <c r="M39" s="55"/>
      <c r="N39" s="55"/>
      <c r="O39" s="55"/>
      <c r="P39" s="55"/>
      <c r="Q39" s="55"/>
      <c r="R39" s="55"/>
      <c r="S39" s="55"/>
      <c r="T39" s="55"/>
      <c r="U39" s="55"/>
      <c r="V39" s="55"/>
      <c r="W39" s="55"/>
      <c r="X39" s="55"/>
      <c r="Y39" s="55"/>
      <c r="Z39" s="55"/>
      <c r="AA39" s="55"/>
      <c r="AB39" s="2"/>
      <c r="AC39" s="2"/>
    </row>
    <row r="40" spans="1:29" x14ac:dyDescent="0.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x14ac:dyDescent="0.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x14ac:dyDescent="0.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x14ac:dyDescent="0.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x14ac:dyDescent="0.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7" spans="1:29" x14ac:dyDescent="0.3">
      <c r="A47" s="15"/>
    </row>
    <row r="48" spans="1:29" x14ac:dyDescent="0.3">
      <c r="A48" s="15"/>
    </row>
  </sheetData>
  <pageMargins left="0.7" right="0.7" top="0.75" bottom="0.75" header="0.3" footer="0.3"/>
  <pageSetup paperSize="17"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opLeftCell="R1" zoomScaleNormal="100" zoomScalePageLayoutView="70" workbookViewId="0">
      <selection activeCell="AC15" sqref="AC15"/>
    </sheetView>
  </sheetViews>
  <sheetFormatPr defaultRowHeight="14.4" x14ac:dyDescent="0.3"/>
  <cols>
    <col min="1" max="1" width="62.6640625" customWidth="1"/>
    <col min="2" max="28" width="12.6640625" customWidth="1"/>
    <col min="29" max="29" width="17.5546875" customWidth="1"/>
  </cols>
  <sheetData>
    <row r="1" spans="1:29" x14ac:dyDescent="0.3">
      <c r="A1" s="3" t="s">
        <v>93</v>
      </c>
    </row>
    <row r="2" spans="1:29" ht="24.6" x14ac:dyDescent="0.3">
      <c r="A2" s="27" t="s">
        <v>37</v>
      </c>
      <c r="B2" s="7" t="s">
        <v>29</v>
      </c>
      <c r="C2" s="7" t="s">
        <v>21</v>
      </c>
      <c r="D2" s="7" t="s">
        <v>28</v>
      </c>
      <c r="E2" s="7" t="s">
        <v>27</v>
      </c>
      <c r="F2" s="7" t="s">
        <v>26</v>
      </c>
      <c r="G2" s="7" t="s">
        <v>22</v>
      </c>
      <c r="H2" s="7" t="s">
        <v>23</v>
      </c>
      <c r="I2" s="7" t="s">
        <v>24</v>
      </c>
      <c r="J2" s="7" t="s">
        <v>25</v>
      </c>
      <c r="K2" s="7" t="s">
        <v>3</v>
      </c>
      <c r="L2" s="7" t="s">
        <v>4</v>
      </c>
      <c r="M2" s="7" t="s">
        <v>5</v>
      </c>
      <c r="N2" s="7" t="s">
        <v>6</v>
      </c>
      <c r="O2" s="7" t="s">
        <v>7</v>
      </c>
      <c r="P2" s="7" t="s">
        <v>8</v>
      </c>
      <c r="Q2" s="7" t="s">
        <v>9</v>
      </c>
      <c r="R2" s="12" t="s">
        <v>11</v>
      </c>
      <c r="S2" s="12" t="s">
        <v>12</v>
      </c>
      <c r="T2" s="12" t="s">
        <v>13</v>
      </c>
      <c r="U2" s="12" t="s">
        <v>14</v>
      </c>
      <c r="V2" s="12" t="s">
        <v>15</v>
      </c>
      <c r="W2" s="12" t="s">
        <v>16</v>
      </c>
      <c r="X2" s="12" t="s">
        <v>17</v>
      </c>
      <c r="Y2" s="12" t="s">
        <v>18</v>
      </c>
      <c r="Z2" s="12" t="s">
        <v>19</v>
      </c>
      <c r="AA2" s="12" t="s">
        <v>20</v>
      </c>
      <c r="AB2" s="12" t="s">
        <v>36</v>
      </c>
      <c r="AC2" s="12" t="s">
        <v>34</v>
      </c>
    </row>
    <row r="3" spans="1:29" x14ac:dyDescent="0.3">
      <c r="A3" s="39" t="s">
        <v>30</v>
      </c>
      <c r="B3" s="17">
        <v>9775872</v>
      </c>
      <c r="C3" s="17">
        <f>B3*1.035</f>
        <v>10118027.52</v>
      </c>
      <c r="D3" s="17">
        <f>C3*1.035</f>
        <v>10472158.483199999</v>
      </c>
      <c r="E3" s="17">
        <f>D3*1.035</f>
        <v>10838684.030111998</v>
      </c>
      <c r="F3" s="17">
        <f t="shared" ref="F3:AB4" si="0">E3*1.035</f>
        <v>11218037.971165918</v>
      </c>
      <c r="G3" s="17">
        <f t="shared" si="0"/>
        <v>11610669.300156724</v>
      </c>
      <c r="H3" s="17">
        <f t="shared" si="0"/>
        <v>12017042.725662207</v>
      </c>
      <c r="I3" s="17">
        <f t="shared" si="0"/>
        <v>12437639.221060384</v>
      </c>
      <c r="J3" s="17">
        <f t="shared" si="0"/>
        <v>12872956.593797496</v>
      </c>
      <c r="K3" s="17">
        <f t="shared" si="0"/>
        <v>13323510.074580407</v>
      </c>
      <c r="L3" s="17">
        <f t="shared" si="0"/>
        <v>13789832.927190719</v>
      </c>
      <c r="M3" s="17">
        <f t="shared" si="0"/>
        <v>14272477.079642393</v>
      </c>
      <c r="N3" s="17">
        <f t="shared" si="0"/>
        <v>14772013.777429875</v>
      </c>
      <c r="O3" s="17">
        <f t="shared" si="0"/>
        <v>15289034.259639919</v>
      </c>
      <c r="P3" s="17">
        <f t="shared" si="0"/>
        <v>15824150.458727315</v>
      </c>
      <c r="Q3" s="17">
        <f t="shared" si="0"/>
        <v>16377995.72478277</v>
      </c>
      <c r="R3" s="17">
        <f t="shared" si="0"/>
        <v>16951225.575150166</v>
      </c>
      <c r="S3" s="17">
        <f t="shared" si="0"/>
        <v>17544518.47028042</v>
      </c>
      <c r="T3" s="17">
        <f t="shared" si="0"/>
        <v>18158576.616740234</v>
      </c>
      <c r="U3" s="17">
        <f t="shared" si="0"/>
        <v>18794126.798326142</v>
      </c>
      <c r="V3" s="17">
        <f t="shared" si="0"/>
        <v>19451921.236267556</v>
      </c>
      <c r="W3" s="17">
        <f t="shared" si="0"/>
        <v>20132738.479536917</v>
      </c>
      <c r="X3" s="17">
        <f t="shared" si="0"/>
        <v>20837384.326320708</v>
      </c>
      <c r="Y3" s="17">
        <f t="shared" si="0"/>
        <v>21566692.777741931</v>
      </c>
      <c r="Z3" s="17">
        <f t="shared" si="0"/>
        <v>22321527.024962898</v>
      </c>
      <c r="AA3" s="17">
        <f t="shared" si="0"/>
        <v>23102780.470836598</v>
      </c>
      <c r="AB3" s="17">
        <f t="shared" si="0"/>
        <v>23911377.787315879</v>
      </c>
      <c r="AC3" s="18">
        <f>SUM(E3:AB3)</f>
        <v>397416913.70742756</v>
      </c>
    </row>
    <row r="4" spans="1:29" x14ac:dyDescent="0.3">
      <c r="A4" s="28" t="s">
        <v>102</v>
      </c>
      <c r="B4" s="17">
        <v>7013751</v>
      </c>
      <c r="C4" s="17">
        <f>B4*1.035</f>
        <v>7259232.2849999992</v>
      </c>
      <c r="D4" s="17">
        <f t="shared" ref="D4:E4" si="1">C4*1.035</f>
        <v>7513305.4149749987</v>
      </c>
      <c r="E4" s="17">
        <f t="shared" si="1"/>
        <v>7776271.1044991231</v>
      </c>
      <c r="F4" s="17">
        <f t="shared" si="0"/>
        <v>8048440.593156592</v>
      </c>
      <c r="G4" s="17">
        <f t="shared" si="0"/>
        <v>8330136.0139170717</v>
      </c>
      <c r="H4" s="17">
        <f t="shared" si="0"/>
        <v>8621690.7744041681</v>
      </c>
      <c r="I4" s="17">
        <f t="shared" si="0"/>
        <v>8923449.9515083134</v>
      </c>
      <c r="J4" s="17">
        <f t="shared" si="0"/>
        <v>9235770.6998111028</v>
      </c>
      <c r="K4" s="17">
        <f t="shared" si="0"/>
        <v>9559022.6743044909</v>
      </c>
      <c r="L4" s="17">
        <f t="shared" si="0"/>
        <v>9893588.467905147</v>
      </c>
      <c r="M4" s="17">
        <f t="shared" si="0"/>
        <v>10239864.064281827</v>
      </c>
      <c r="N4" s="17">
        <f t="shared" si="0"/>
        <v>10598259.30653169</v>
      </c>
      <c r="O4" s="17">
        <f t="shared" si="0"/>
        <v>10969198.382260298</v>
      </c>
      <c r="P4" s="17">
        <f t="shared" si="0"/>
        <v>11353120.325639408</v>
      </c>
      <c r="Q4" s="17">
        <f t="shared" si="0"/>
        <v>11750479.537036786</v>
      </c>
      <c r="R4" s="17">
        <f t="shared" si="0"/>
        <v>12161746.320833072</v>
      </c>
      <c r="S4" s="17">
        <f t="shared" si="0"/>
        <v>12587407.442062229</v>
      </c>
      <c r="T4" s="17">
        <f t="shared" si="0"/>
        <v>13027966.702534406</v>
      </c>
      <c r="U4" s="17">
        <f t="shared" si="0"/>
        <v>13483945.537123108</v>
      </c>
      <c r="V4" s="17">
        <f t="shared" si="0"/>
        <v>13955883.630922416</v>
      </c>
      <c r="W4" s="17">
        <f t="shared" si="0"/>
        <v>14444339.5580047</v>
      </c>
      <c r="X4" s="17">
        <f t="shared" si="0"/>
        <v>14949891.442534862</v>
      </c>
      <c r="Y4" s="17">
        <f t="shared" si="0"/>
        <v>15473137.64302358</v>
      </c>
      <c r="Z4" s="17">
        <f t="shared" si="0"/>
        <v>16014697.460529404</v>
      </c>
      <c r="AA4" s="17">
        <f t="shared" si="0"/>
        <v>16575211.871647932</v>
      </c>
      <c r="AB4" s="17">
        <f t="shared" si="0"/>
        <v>17155344.28715561</v>
      </c>
      <c r="AC4" s="18">
        <f>SUM(E4:AB4)</f>
        <v>285128863.79162735</v>
      </c>
    </row>
    <row r="5" spans="1:29" x14ac:dyDescent="0.3">
      <c r="A5" s="59" t="s">
        <v>10</v>
      </c>
      <c r="B5" s="20">
        <f>SUM(B3:B4)</f>
        <v>16789623</v>
      </c>
      <c r="C5" s="20">
        <f t="shared" ref="C5:K5" si="2">SUM(C3:C4)</f>
        <v>17377259.805</v>
      </c>
      <c r="D5" s="20">
        <f t="shared" si="2"/>
        <v>17985463.898174997</v>
      </c>
      <c r="E5" s="20">
        <f t="shared" si="2"/>
        <v>18614955.134611122</v>
      </c>
      <c r="F5" s="20">
        <f t="shared" si="2"/>
        <v>19266478.564322509</v>
      </c>
      <c r="G5" s="20">
        <f t="shared" si="2"/>
        <v>19940805.314073794</v>
      </c>
      <c r="H5" s="20">
        <f t="shared" si="2"/>
        <v>20638733.500066377</v>
      </c>
      <c r="I5" s="20">
        <f t="shared" si="2"/>
        <v>21361089.172568697</v>
      </c>
      <c r="J5" s="20">
        <f t="shared" si="2"/>
        <v>22108727.293608598</v>
      </c>
      <c r="K5" s="20">
        <f t="shared" si="2"/>
        <v>22882532.748884898</v>
      </c>
      <c r="L5" s="20">
        <f>SUM(L3:L4)</f>
        <v>23683421.395095866</v>
      </c>
      <c r="M5" s="20">
        <f t="shared" ref="M5" si="3">SUM(M3:M4)</f>
        <v>24512341.143924221</v>
      </c>
      <c r="N5" s="20">
        <f t="shared" ref="N5" si="4">SUM(N3:N4)</f>
        <v>25370273.083961565</v>
      </c>
      <c r="O5" s="20">
        <f t="shared" ref="O5" si="5">SUM(O3:O4)</f>
        <v>26258232.641900219</v>
      </c>
      <c r="P5" s="20">
        <f t="shared" ref="P5" si="6">SUM(P3:P4)</f>
        <v>27177270.784366723</v>
      </c>
      <c r="Q5" s="20">
        <f t="shared" ref="Q5" si="7">SUM(Q3:Q4)</f>
        <v>28128475.261819556</v>
      </c>
      <c r="R5" s="20">
        <f t="shared" ref="R5" si="8">SUM(R3:R4)</f>
        <v>29112971.895983238</v>
      </c>
      <c r="S5" s="20">
        <f t="shared" ref="S5" si="9">SUM(S3:S4)</f>
        <v>30131925.912342649</v>
      </c>
      <c r="T5" s="20">
        <f t="shared" ref="T5" si="10">SUM(T3:T4)</f>
        <v>31186543.319274642</v>
      </c>
      <c r="U5" s="20">
        <f>SUM(U3:U4)</f>
        <v>32278072.335449249</v>
      </c>
      <c r="V5" s="20">
        <f t="shared" ref="V5" si="11">SUM(V3:V4)</f>
        <v>33407804.867189974</v>
      </c>
      <c r="W5" s="20">
        <f t="shared" ref="W5" si="12">SUM(W3:W4)</f>
        <v>34577078.037541613</v>
      </c>
      <c r="X5" s="20">
        <f t="shared" ref="X5" si="13">SUM(X3:X4)</f>
        <v>35787275.768855572</v>
      </c>
      <c r="Y5" s="20">
        <f t="shared" ref="Y5" si="14">SUM(Y3:Y4)</f>
        <v>37039830.420765512</v>
      </c>
      <c r="Z5" s="20">
        <f t="shared" ref="Z5" si="15">SUM(Z3:Z4)</f>
        <v>38336224.485492304</v>
      </c>
      <c r="AA5" s="20">
        <f t="shared" ref="AA5" si="16">SUM(AA3:AA4)</f>
        <v>39677992.342484534</v>
      </c>
      <c r="AB5" s="20">
        <f t="shared" ref="AB5" si="17">SUM(AB3:AB4)</f>
        <v>41066722.074471489</v>
      </c>
      <c r="AC5" s="20">
        <f>SUM(E5:AB5)</f>
        <v>682545777.49905491</v>
      </c>
    </row>
    <row r="6" spans="1:29" x14ac:dyDescent="0.3">
      <c r="A6" s="3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20"/>
    </row>
    <row r="7" spans="1:29" x14ac:dyDescent="0.3">
      <c r="A7" s="59" t="s">
        <v>86</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20"/>
    </row>
    <row r="8" spans="1:29" x14ac:dyDescent="0.3">
      <c r="A8" s="28" t="s">
        <v>83</v>
      </c>
      <c r="B8" s="17"/>
      <c r="C8" s="17"/>
      <c r="D8" s="17">
        <f>6200000</f>
        <v>6200000</v>
      </c>
      <c r="E8" s="17">
        <f t="shared" ref="E8:AB8" si="18">D8*1.035</f>
        <v>6416999.9999999991</v>
      </c>
      <c r="F8" s="17">
        <f t="shared" si="18"/>
        <v>6641594.9999999981</v>
      </c>
      <c r="G8" s="17">
        <f t="shared" si="18"/>
        <v>6874050.8249999974</v>
      </c>
      <c r="H8" s="17">
        <f t="shared" si="18"/>
        <v>7114642.6038749963</v>
      </c>
      <c r="I8" s="17">
        <f t="shared" si="18"/>
        <v>7363655.0950106205</v>
      </c>
      <c r="J8" s="17">
        <f t="shared" si="18"/>
        <v>7621383.0233359914</v>
      </c>
      <c r="K8" s="17">
        <f t="shared" si="18"/>
        <v>7888131.4291527504</v>
      </c>
      <c r="L8" s="17">
        <f t="shared" si="18"/>
        <v>8164216.0291730957</v>
      </c>
      <c r="M8" s="17">
        <f t="shared" si="18"/>
        <v>8449963.5901941527</v>
      </c>
      <c r="N8" s="17">
        <f t="shared" si="18"/>
        <v>8745712.3158509471</v>
      </c>
      <c r="O8" s="17">
        <f t="shared" si="18"/>
        <v>9051812.2469057292</v>
      </c>
      <c r="P8" s="17">
        <f t="shared" si="18"/>
        <v>9368625.6755474284</v>
      </c>
      <c r="Q8" s="17">
        <f t="shared" si="18"/>
        <v>9696527.574191587</v>
      </c>
      <c r="R8" s="17">
        <f t="shared" si="18"/>
        <v>10035906.039288292</v>
      </c>
      <c r="S8" s="17">
        <f t="shared" si="18"/>
        <v>10387162.750663381</v>
      </c>
      <c r="T8" s="17">
        <f t="shared" si="18"/>
        <v>10750713.446936598</v>
      </c>
      <c r="U8" s="17">
        <f t="shared" si="18"/>
        <v>11126988.417579379</v>
      </c>
      <c r="V8" s="17">
        <f t="shared" si="18"/>
        <v>11516433.012194656</v>
      </c>
      <c r="W8" s="17">
        <f t="shared" si="18"/>
        <v>11919508.167621467</v>
      </c>
      <c r="X8" s="17">
        <f t="shared" si="18"/>
        <v>12336690.953488218</v>
      </c>
      <c r="Y8" s="17">
        <f t="shared" si="18"/>
        <v>12768475.136860304</v>
      </c>
      <c r="Z8" s="17">
        <f t="shared" si="18"/>
        <v>13215371.766650414</v>
      </c>
      <c r="AA8" s="17">
        <f t="shared" si="18"/>
        <v>13677909.778483177</v>
      </c>
      <c r="AB8" s="17">
        <f t="shared" si="18"/>
        <v>14156636.620730087</v>
      </c>
      <c r="AC8" s="18">
        <f>SUM(E8:AB8)</f>
        <v>235289111.49873328</v>
      </c>
    </row>
    <row r="9" spans="1:29" x14ac:dyDescent="0.3">
      <c r="A9" s="28" t="s">
        <v>96</v>
      </c>
      <c r="B9" s="17"/>
      <c r="C9" s="17"/>
      <c r="D9" s="17">
        <f>1100000</f>
        <v>1100000</v>
      </c>
      <c r="E9" s="17">
        <f t="shared" ref="E9:AB9" si="19">D9*1.035</f>
        <v>1138500</v>
      </c>
      <c r="F9" s="17">
        <f t="shared" si="19"/>
        <v>1178347.5</v>
      </c>
      <c r="G9" s="17">
        <f t="shared" si="19"/>
        <v>1219589.6624999999</v>
      </c>
      <c r="H9" s="17">
        <f t="shared" si="19"/>
        <v>1262275.3006874998</v>
      </c>
      <c r="I9" s="17">
        <f t="shared" si="19"/>
        <v>1306454.9362115622</v>
      </c>
      <c r="J9" s="17">
        <f t="shared" si="19"/>
        <v>1352180.8589789667</v>
      </c>
      <c r="K9" s="17">
        <f t="shared" si="19"/>
        <v>1399507.1890432304</v>
      </c>
      <c r="L9" s="17">
        <f t="shared" si="19"/>
        <v>1448489.9406597433</v>
      </c>
      <c r="M9" s="17">
        <f t="shared" si="19"/>
        <v>1499187.0885828342</v>
      </c>
      <c r="N9" s="17">
        <f t="shared" si="19"/>
        <v>1551658.6366832333</v>
      </c>
      <c r="O9" s="17">
        <f t="shared" si="19"/>
        <v>1605966.6889671464</v>
      </c>
      <c r="P9" s="17">
        <f t="shared" si="19"/>
        <v>1662175.5230809965</v>
      </c>
      <c r="Q9" s="17">
        <f t="shared" si="19"/>
        <v>1720351.6663888311</v>
      </c>
      <c r="R9" s="17">
        <f t="shared" si="19"/>
        <v>1780563.97471244</v>
      </c>
      <c r="S9" s="17">
        <f t="shared" si="19"/>
        <v>1842883.7138273753</v>
      </c>
      <c r="T9" s="17">
        <f t="shared" si="19"/>
        <v>1907384.6438113332</v>
      </c>
      <c r="U9" s="17">
        <f t="shared" si="19"/>
        <v>1974143.1063447297</v>
      </c>
      <c r="V9" s="17">
        <f t="shared" si="19"/>
        <v>2043238.1150667951</v>
      </c>
      <c r="W9" s="17">
        <f t="shared" si="19"/>
        <v>2114751.449094133</v>
      </c>
      <c r="X9" s="17">
        <f t="shared" si="19"/>
        <v>2188767.7498124274</v>
      </c>
      <c r="Y9" s="17">
        <f t="shared" si="19"/>
        <v>2265374.6210558624</v>
      </c>
      <c r="Z9" s="17">
        <f t="shared" si="19"/>
        <v>2344662.7327928175</v>
      </c>
      <c r="AA9" s="17">
        <f t="shared" si="19"/>
        <v>2426725.9284405662</v>
      </c>
      <c r="AB9" s="17">
        <f t="shared" si="19"/>
        <v>2511661.3359359857</v>
      </c>
      <c r="AC9" s="18">
        <f>SUM(E9:AB9)</f>
        <v>41744842.362678505</v>
      </c>
    </row>
    <row r="10" spans="1:29" x14ac:dyDescent="0.3">
      <c r="A10" s="59" t="s">
        <v>10</v>
      </c>
      <c r="B10" s="37"/>
      <c r="C10" s="37"/>
      <c r="D10" s="37"/>
      <c r="E10" s="37">
        <f t="shared" ref="E10:AC10" si="20">SUM(E8:E9)</f>
        <v>7555499.9999999991</v>
      </c>
      <c r="F10" s="37">
        <f t="shared" si="20"/>
        <v>7819942.4999999981</v>
      </c>
      <c r="G10" s="37">
        <f t="shared" si="20"/>
        <v>8093640.487499997</v>
      </c>
      <c r="H10" s="37">
        <f t="shared" si="20"/>
        <v>8376917.9045624956</v>
      </c>
      <c r="I10" s="37">
        <f t="shared" si="20"/>
        <v>8670110.0312221833</v>
      </c>
      <c r="J10" s="37">
        <f t="shared" si="20"/>
        <v>8973563.8823149577</v>
      </c>
      <c r="K10" s="37">
        <f t="shared" si="20"/>
        <v>9287638.6181959808</v>
      </c>
      <c r="L10" s="37">
        <f t="shared" si="20"/>
        <v>9612705.9698328394</v>
      </c>
      <c r="M10" s="37">
        <f t="shared" si="20"/>
        <v>9949150.6787769869</v>
      </c>
      <c r="N10" s="37">
        <f t="shared" si="20"/>
        <v>10297370.95253418</v>
      </c>
      <c r="O10" s="37">
        <f t="shared" si="20"/>
        <v>10657778.935872875</v>
      </c>
      <c r="P10" s="37">
        <f t="shared" si="20"/>
        <v>11030801.198628426</v>
      </c>
      <c r="Q10" s="37">
        <f t="shared" si="20"/>
        <v>11416879.240580417</v>
      </c>
      <c r="R10" s="37">
        <f t="shared" si="20"/>
        <v>11816470.014000732</v>
      </c>
      <c r="S10" s="37">
        <f t="shared" si="20"/>
        <v>12230046.464490756</v>
      </c>
      <c r="T10" s="37">
        <f t="shared" si="20"/>
        <v>12658098.090747932</v>
      </c>
      <c r="U10" s="37">
        <f t="shared" si="20"/>
        <v>13101131.523924109</v>
      </c>
      <c r="V10" s="37">
        <f t="shared" si="20"/>
        <v>13559671.127261451</v>
      </c>
      <c r="W10" s="37">
        <f t="shared" si="20"/>
        <v>14034259.616715601</v>
      </c>
      <c r="X10" s="37">
        <f t="shared" si="20"/>
        <v>14525458.703300646</v>
      </c>
      <c r="Y10" s="37">
        <f t="shared" si="20"/>
        <v>15033849.757916166</v>
      </c>
      <c r="Z10" s="37">
        <f t="shared" si="20"/>
        <v>15560034.499443231</v>
      </c>
      <c r="AA10" s="37">
        <f t="shared" si="20"/>
        <v>16104635.706923742</v>
      </c>
      <c r="AB10" s="37">
        <f t="shared" si="20"/>
        <v>16668297.956666073</v>
      </c>
      <c r="AC10" s="20">
        <f t="shared" si="20"/>
        <v>277033953.86141181</v>
      </c>
    </row>
    <row r="11" spans="1:29" x14ac:dyDescent="0.3">
      <c r="A11" s="3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20"/>
    </row>
    <row r="12" spans="1:29" x14ac:dyDescent="0.3">
      <c r="A12" s="28" t="s">
        <v>97</v>
      </c>
      <c r="B12" s="17"/>
      <c r="C12" s="17">
        <v>6133193</v>
      </c>
      <c r="D12" s="17">
        <v>6133193</v>
      </c>
      <c r="E12" s="17">
        <v>6133193</v>
      </c>
      <c r="F12" s="17">
        <v>6133193</v>
      </c>
      <c r="G12" s="17">
        <v>6133193</v>
      </c>
      <c r="H12" s="17">
        <v>6133193</v>
      </c>
      <c r="I12" s="17">
        <v>6133193</v>
      </c>
      <c r="J12" s="17">
        <v>6133193</v>
      </c>
      <c r="K12" s="17">
        <v>6133193</v>
      </c>
      <c r="L12" s="17">
        <v>6133193</v>
      </c>
      <c r="M12" s="17">
        <v>6133193</v>
      </c>
      <c r="N12" s="17">
        <v>6133193</v>
      </c>
      <c r="O12" s="17">
        <v>6133193</v>
      </c>
      <c r="P12" s="17">
        <v>6133193</v>
      </c>
      <c r="Q12" s="17">
        <v>6133193</v>
      </c>
      <c r="R12" s="17">
        <v>6133193</v>
      </c>
      <c r="S12" s="17">
        <v>6133193</v>
      </c>
      <c r="T12" s="17">
        <v>6133193</v>
      </c>
      <c r="U12" s="17">
        <v>6133193</v>
      </c>
      <c r="V12" s="17">
        <v>6133193</v>
      </c>
      <c r="W12" s="17">
        <v>6133193</v>
      </c>
      <c r="X12" s="17">
        <v>6133193</v>
      </c>
      <c r="Y12" s="17">
        <v>6133193</v>
      </c>
      <c r="Z12" s="17">
        <v>6133193</v>
      </c>
      <c r="AA12" s="17">
        <v>6133193</v>
      </c>
      <c r="AB12" s="17">
        <v>6133193</v>
      </c>
      <c r="AC12" s="18">
        <f>SUM(E12:AB12)</f>
        <v>147196632</v>
      </c>
    </row>
    <row r="13" spans="1:29" x14ac:dyDescent="0.3">
      <c r="A13" s="2"/>
      <c r="B13" s="2"/>
      <c r="C13" s="2"/>
      <c r="D13" s="2"/>
      <c r="E13" s="2"/>
      <c r="F13" s="2"/>
      <c r="G13" s="2"/>
      <c r="H13" s="2"/>
      <c r="I13" s="2"/>
      <c r="J13" s="2"/>
      <c r="K13" s="2"/>
    </row>
    <row r="14" spans="1:29" x14ac:dyDescent="0.3">
      <c r="A14" s="26" t="s">
        <v>87</v>
      </c>
      <c r="B14" s="2"/>
      <c r="C14" s="2"/>
      <c r="D14" s="2"/>
      <c r="E14" s="2"/>
      <c r="F14" s="2"/>
      <c r="G14" s="2"/>
      <c r="H14" s="2"/>
      <c r="I14" s="2"/>
      <c r="J14" s="2"/>
      <c r="K14" s="2"/>
    </row>
    <row r="15" spans="1:29" x14ac:dyDescent="0.3">
      <c r="A15" s="28" t="s">
        <v>99</v>
      </c>
      <c r="B15" s="21"/>
      <c r="C15" s="17"/>
      <c r="D15" s="17">
        <f>1500000</f>
        <v>1500000</v>
      </c>
      <c r="E15" s="17">
        <f t="shared" ref="E15:AB15" si="21">D15*1.035</f>
        <v>1552499.9999999998</v>
      </c>
      <c r="F15" s="17">
        <f t="shared" si="21"/>
        <v>1606837.4999999995</v>
      </c>
      <c r="G15" s="17">
        <f t="shared" si="21"/>
        <v>1663076.8124999993</v>
      </c>
      <c r="H15" s="17">
        <f t="shared" si="21"/>
        <v>1721284.5009374991</v>
      </c>
      <c r="I15" s="17">
        <f t="shared" si="21"/>
        <v>1781529.4584703115</v>
      </c>
      <c r="J15" s="17">
        <f t="shared" si="21"/>
        <v>1843882.9895167723</v>
      </c>
      <c r="K15" s="17">
        <f t="shared" si="21"/>
        <v>1908418.8941498592</v>
      </c>
      <c r="L15" s="17">
        <f t="shared" si="21"/>
        <v>1975213.5554451041</v>
      </c>
      <c r="M15" s="17">
        <f t="shared" si="21"/>
        <v>2044346.0298856825</v>
      </c>
      <c r="N15" s="17">
        <f t="shared" si="21"/>
        <v>2115898.1409316813</v>
      </c>
      <c r="O15" s="17">
        <f t="shared" si="21"/>
        <v>2189954.5758642899</v>
      </c>
      <c r="P15" s="17">
        <f t="shared" si="21"/>
        <v>2266602.9860195396</v>
      </c>
      <c r="Q15" s="17">
        <f t="shared" si="21"/>
        <v>2345934.0905302232</v>
      </c>
      <c r="R15" s="17">
        <f t="shared" si="21"/>
        <v>2428041.7836987809</v>
      </c>
      <c r="S15" s="17">
        <f t="shared" si="21"/>
        <v>2513023.2461282383</v>
      </c>
      <c r="T15" s="17">
        <f t="shared" si="21"/>
        <v>2600979.0597427264</v>
      </c>
      <c r="U15" s="17">
        <f t="shared" si="21"/>
        <v>2692013.3268337217</v>
      </c>
      <c r="V15" s="17">
        <f t="shared" si="21"/>
        <v>2786233.7932729018</v>
      </c>
      <c r="W15" s="17">
        <f t="shared" si="21"/>
        <v>2883751.9760374529</v>
      </c>
      <c r="X15" s="17">
        <f t="shared" si="21"/>
        <v>2984683.2951987637</v>
      </c>
      <c r="Y15" s="17">
        <f t="shared" si="21"/>
        <v>3089147.2105307202</v>
      </c>
      <c r="Z15" s="17">
        <f t="shared" si="21"/>
        <v>3197267.3628992951</v>
      </c>
      <c r="AA15" s="17">
        <f t="shared" si="21"/>
        <v>3309171.7206007703</v>
      </c>
      <c r="AB15" s="17">
        <f t="shared" si="21"/>
        <v>3424992.7308217972</v>
      </c>
      <c r="AC15" s="18">
        <f>SUM(E15:AB15)</f>
        <v>56924785.04001613</v>
      </c>
    </row>
    <row r="16" spans="1:29" x14ac:dyDescent="0.3">
      <c r="A16" s="28" t="s">
        <v>100</v>
      </c>
      <c r="B16" s="21"/>
      <c r="C16" s="17"/>
      <c r="D16" s="17">
        <f>1100000</f>
        <v>1100000</v>
      </c>
      <c r="E16" s="17">
        <f t="shared" ref="E16:AB16" si="22">D16*1.035</f>
        <v>1138500</v>
      </c>
      <c r="F16" s="17">
        <f t="shared" si="22"/>
        <v>1178347.5</v>
      </c>
      <c r="G16" s="17">
        <f t="shared" si="22"/>
        <v>1219589.6624999999</v>
      </c>
      <c r="H16" s="17">
        <f t="shared" si="22"/>
        <v>1262275.3006874998</v>
      </c>
      <c r="I16" s="17">
        <f t="shared" si="22"/>
        <v>1306454.9362115622</v>
      </c>
      <c r="J16" s="17">
        <f t="shared" si="22"/>
        <v>1352180.8589789667</v>
      </c>
      <c r="K16" s="17">
        <f t="shared" si="22"/>
        <v>1399507.1890432304</v>
      </c>
      <c r="L16" s="17">
        <f t="shared" si="22"/>
        <v>1448489.9406597433</v>
      </c>
      <c r="M16" s="17">
        <f t="shared" si="22"/>
        <v>1499187.0885828342</v>
      </c>
      <c r="N16" s="17">
        <f t="shared" si="22"/>
        <v>1551658.6366832333</v>
      </c>
      <c r="O16" s="17">
        <f t="shared" si="22"/>
        <v>1605966.6889671464</v>
      </c>
      <c r="P16" s="17">
        <f t="shared" si="22"/>
        <v>1662175.5230809965</v>
      </c>
      <c r="Q16" s="17">
        <f t="shared" si="22"/>
        <v>1720351.6663888311</v>
      </c>
      <c r="R16" s="17">
        <f t="shared" si="22"/>
        <v>1780563.97471244</v>
      </c>
      <c r="S16" s="17">
        <f t="shared" si="22"/>
        <v>1842883.7138273753</v>
      </c>
      <c r="T16" s="17">
        <f t="shared" si="22"/>
        <v>1907384.6438113332</v>
      </c>
      <c r="U16" s="17">
        <f t="shared" si="22"/>
        <v>1974143.1063447297</v>
      </c>
      <c r="V16" s="17">
        <f t="shared" si="22"/>
        <v>2043238.1150667951</v>
      </c>
      <c r="W16" s="17">
        <f t="shared" si="22"/>
        <v>2114751.449094133</v>
      </c>
      <c r="X16" s="17">
        <f t="shared" si="22"/>
        <v>2188767.7498124274</v>
      </c>
      <c r="Y16" s="17">
        <f t="shared" si="22"/>
        <v>2265374.6210558624</v>
      </c>
      <c r="Z16" s="17">
        <f t="shared" si="22"/>
        <v>2344662.7327928175</v>
      </c>
      <c r="AA16" s="17">
        <f t="shared" si="22"/>
        <v>2426725.9284405662</v>
      </c>
      <c r="AB16" s="17">
        <f t="shared" si="22"/>
        <v>2511661.3359359857</v>
      </c>
      <c r="AC16" s="18">
        <f>SUM(E16:AB16)</f>
        <v>41744842.362678505</v>
      </c>
    </row>
    <row r="17" spans="1:29" x14ac:dyDescent="0.3">
      <c r="A17" s="26" t="s">
        <v>10</v>
      </c>
      <c r="B17" s="2"/>
      <c r="C17" s="2"/>
      <c r="D17" s="2"/>
      <c r="E17" s="31">
        <f t="shared" ref="E17:AC17" si="23">SUM(E15:E16)</f>
        <v>2691000</v>
      </c>
      <c r="F17" s="31">
        <f t="shared" si="23"/>
        <v>2785184.9999999995</v>
      </c>
      <c r="G17" s="31">
        <f t="shared" si="23"/>
        <v>2882666.4749999992</v>
      </c>
      <c r="H17" s="31">
        <f t="shared" si="23"/>
        <v>2983559.8016249989</v>
      </c>
      <c r="I17" s="31">
        <f t="shared" si="23"/>
        <v>3087984.3946818737</v>
      </c>
      <c r="J17" s="31">
        <f t="shared" si="23"/>
        <v>3196063.848495739</v>
      </c>
      <c r="K17" s="31">
        <f t="shared" si="23"/>
        <v>3307926.0831930898</v>
      </c>
      <c r="L17" s="31">
        <f t="shared" si="23"/>
        <v>3423703.4961048476</v>
      </c>
      <c r="M17" s="31">
        <f t="shared" si="23"/>
        <v>3543533.1184685165</v>
      </c>
      <c r="N17" s="31">
        <f t="shared" si="23"/>
        <v>3667556.7776149148</v>
      </c>
      <c r="O17" s="31">
        <f t="shared" si="23"/>
        <v>3795921.2648314363</v>
      </c>
      <c r="P17" s="31">
        <f t="shared" si="23"/>
        <v>3928778.5091005359</v>
      </c>
      <c r="Q17" s="31">
        <f t="shared" si="23"/>
        <v>4066285.7569190543</v>
      </c>
      <c r="R17" s="31">
        <f t="shared" si="23"/>
        <v>4208605.7584112212</v>
      </c>
      <c r="S17" s="31">
        <f t="shared" si="23"/>
        <v>4355906.9599556141</v>
      </c>
      <c r="T17" s="31">
        <f t="shared" si="23"/>
        <v>4508363.7035540594</v>
      </c>
      <c r="U17" s="31">
        <f t="shared" si="23"/>
        <v>4666156.4331784509</v>
      </c>
      <c r="V17" s="31">
        <f t="shared" si="23"/>
        <v>4829471.9083396969</v>
      </c>
      <c r="W17" s="31">
        <f t="shared" si="23"/>
        <v>4998503.4251315854</v>
      </c>
      <c r="X17" s="31">
        <f t="shared" si="23"/>
        <v>5173451.0450111907</v>
      </c>
      <c r="Y17" s="31">
        <f t="shared" si="23"/>
        <v>5354521.8315865826</v>
      </c>
      <c r="Z17" s="31">
        <f t="shared" si="23"/>
        <v>5541930.095692113</v>
      </c>
      <c r="AA17" s="31">
        <f t="shared" si="23"/>
        <v>5735897.649041336</v>
      </c>
      <c r="AB17" s="31">
        <f t="shared" si="23"/>
        <v>5936654.0667577833</v>
      </c>
      <c r="AC17" s="25">
        <f t="shared" si="23"/>
        <v>98669627.402694643</v>
      </c>
    </row>
    <row r="18" spans="1:29" x14ac:dyDescent="0.3">
      <c r="A18" s="2"/>
      <c r="B18" s="2"/>
      <c r="C18" s="2"/>
      <c r="D18" s="2"/>
      <c r="E18" s="2"/>
      <c r="F18" s="2"/>
      <c r="G18" s="2"/>
      <c r="H18" s="2"/>
      <c r="I18" s="40">
        <f>E17+F17+G17+H17+I17</f>
        <v>14430395.671306871</v>
      </c>
      <c r="J18" s="2"/>
      <c r="K18" s="2"/>
      <c r="N18" s="40">
        <f>J17+K17+L17+M17+N17</f>
        <v>17138783.323877107</v>
      </c>
      <c r="S18" s="40">
        <f>O17+P17+Q17+R17+S17</f>
        <v>20355498.24921786</v>
      </c>
      <c r="X18" s="40">
        <f>T17+U17+V17+W17+X17</f>
        <v>24175946.515214987</v>
      </c>
      <c r="AB18" s="40">
        <f>Y17+Z17+AA17+AB17</f>
        <v>22569003.643077813</v>
      </c>
    </row>
    <row r="19" spans="1:29" x14ac:dyDescent="0.3">
      <c r="A19" s="2" t="s">
        <v>78</v>
      </c>
      <c r="B19" s="2"/>
      <c r="C19" s="2"/>
      <c r="D19" s="2"/>
      <c r="E19" s="2"/>
      <c r="F19" s="2"/>
      <c r="G19" s="2"/>
      <c r="H19" s="2"/>
      <c r="I19" s="2"/>
      <c r="J19" s="2"/>
      <c r="K19" s="2"/>
    </row>
    <row r="20" spans="1:29" x14ac:dyDescent="0.3">
      <c r="A20" s="15" t="s">
        <v>103</v>
      </c>
      <c r="B20" s="2"/>
      <c r="C20" s="2"/>
      <c r="D20" s="2"/>
      <c r="E20" s="2"/>
      <c r="F20" s="2"/>
      <c r="G20" s="2"/>
      <c r="H20" s="2"/>
      <c r="I20" s="2"/>
      <c r="J20" s="2"/>
      <c r="K20" s="2"/>
    </row>
    <row r="21" spans="1:29" x14ac:dyDescent="0.3">
      <c r="A21" s="15" t="s">
        <v>146</v>
      </c>
      <c r="B21" s="2"/>
      <c r="C21" s="2"/>
      <c r="D21" s="2"/>
      <c r="E21" s="2"/>
      <c r="F21" s="2"/>
      <c r="G21" s="2"/>
      <c r="H21" s="2"/>
      <c r="I21" s="2"/>
      <c r="J21" s="2"/>
      <c r="K21" s="2"/>
    </row>
    <row r="22" spans="1:29" x14ac:dyDescent="0.3">
      <c r="A22" s="15" t="s">
        <v>143</v>
      </c>
      <c r="B22" s="2"/>
      <c r="C22" s="2"/>
      <c r="D22" s="2"/>
      <c r="E22" s="2"/>
      <c r="F22" s="2"/>
      <c r="G22" s="2"/>
      <c r="H22" s="2"/>
      <c r="I22" s="2"/>
      <c r="J22" s="2"/>
      <c r="K22" s="2"/>
    </row>
    <row r="23" spans="1:29" x14ac:dyDescent="0.3">
      <c r="A23" s="15" t="s">
        <v>101</v>
      </c>
      <c r="B23" s="2"/>
      <c r="C23" s="2"/>
      <c r="D23" s="2"/>
      <c r="E23" s="2"/>
      <c r="F23" s="2"/>
      <c r="G23" s="2"/>
      <c r="H23" s="2"/>
      <c r="I23" s="2"/>
      <c r="J23" s="2"/>
      <c r="K23" s="2"/>
    </row>
    <row r="24" spans="1:29" x14ac:dyDescent="0.3">
      <c r="A24" s="15" t="s">
        <v>145</v>
      </c>
      <c r="B24" s="2"/>
      <c r="C24" s="2"/>
      <c r="D24" s="2"/>
      <c r="E24" s="2"/>
      <c r="F24" s="2"/>
      <c r="G24" s="2"/>
      <c r="H24" s="2"/>
      <c r="I24" s="2"/>
      <c r="J24" s="2"/>
      <c r="K24" s="2"/>
    </row>
    <row r="25" spans="1:29" x14ac:dyDescent="0.3">
      <c r="A25" s="15" t="s">
        <v>144</v>
      </c>
      <c r="B25" s="2"/>
      <c r="C25" s="2"/>
      <c r="D25" s="2"/>
      <c r="E25" s="2"/>
      <c r="F25" s="2"/>
      <c r="G25" s="2"/>
      <c r="H25" s="2"/>
      <c r="I25" s="2"/>
      <c r="J25" s="2"/>
      <c r="K25" s="2"/>
    </row>
    <row r="26" spans="1:29" x14ac:dyDescent="0.3">
      <c r="A26" s="15"/>
      <c r="B26" s="2"/>
      <c r="C26" s="2"/>
      <c r="D26" s="2"/>
      <c r="E26" s="2"/>
      <c r="F26" s="2"/>
      <c r="G26" s="2"/>
      <c r="H26" s="2"/>
      <c r="I26" s="2"/>
      <c r="J26" s="2"/>
      <c r="K26" s="2"/>
    </row>
    <row r="27" spans="1:29" x14ac:dyDescent="0.3">
      <c r="A27" s="15"/>
      <c r="B27" s="35" t="s">
        <v>57</v>
      </c>
      <c r="C27" s="35" t="s">
        <v>94</v>
      </c>
      <c r="D27" s="2"/>
      <c r="E27" s="2"/>
      <c r="F27" s="2"/>
      <c r="G27" s="2"/>
      <c r="H27" s="2"/>
      <c r="I27" s="2"/>
      <c r="J27" s="2"/>
      <c r="K27" s="2"/>
    </row>
    <row r="28" spans="1:29" x14ac:dyDescent="0.3">
      <c r="A28" s="2" t="s">
        <v>40</v>
      </c>
      <c r="B28" s="14">
        <f>SUM(E3,F3,G3,H3,)</f>
        <v>45684434.027096845</v>
      </c>
      <c r="C28" s="14">
        <f>SUM(E4,F4,G4,H4,)</f>
        <v>32776538.485976957</v>
      </c>
      <c r="D28" s="2"/>
      <c r="E28" s="2"/>
      <c r="F28" s="2"/>
      <c r="G28" s="2"/>
      <c r="H28" s="2"/>
      <c r="I28" s="2"/>
      <c r="J28" s="2"/>
      <c r="K28" s="2"/>
    </row>
    <row r="29" spans="1:29" x14ac:dyDescent="0.3">
      <c r="A29" s="2" t="s">
        <v>39</v>
      </c>
      <c r="B29" s="14">
        <f>SUM(I3,J3,K3,L3,M3,N3,O3,P3,Q3,R3)</f>
        <v>145910835.69200143</v>
      </c>
      <c r="C29" s="14">
        <f>SUM(I4,J4,K4,L4,M4,N4,O4,P4,Q4,R4)</f>
        <v>104684499.73011215</v>
      </c>
      <c r="D29" s="2"/>
      <c r="E29" s="2"/>
      <c r="F29" s="2"/>
      <c r="G29" s="2"/>
      <c r="H29" s="2"/>
      <c r="I29" s="2"/>
      <c r="J29" s="2"/>
      <c r="K29" s="2"/>
    </row>
    <row r="30" spans="1:29" x14ac:dyDescent="0.3">
      <c r="A30" s="2" t="s">
        <v>38</v>
      </c>
      <c r="B30" s="14">
        <f>SUM(S3,T3,U3,V3,W3,X3,Y3,Z3,AA3,AB3)</f>
        <v>205821643.98832929</v>
      </c>
      <c r="C30" s="14">
        <f>SUM(S4,T4,U4,V4,W4,X4,Y4,Z4,AA4,AB4)</f>
        <v>147667825.57553825</v>
      </c>
    </row>
    <row r="31" spans="1:29" x14ac:dyDescent="0.3">
      <c r="A31" s="26" t="s">
        <v>41</v>
      </c>
      <c r="B31" s="22">
        <f>SUM(B28:B30)</f>
        <v>397416913.70742756</v>
      </c>
      <c r="C31" s="22">
        <f>SUM(C28:C30)</f>
        <v>285128863.79162735</v>
      </c>
    </row>
    <row r="33" spans="1:31" x14ac:dyDescent="0.3">
      <c r="A33" s="56"/>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7"/>
      <c r="AE33" s="57"/>
    </row>
    <row r="34" spans="1:31" x14ac:dyDescent="0.3">
      <c r="A34" s="55"/>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20"/>
      <c r="AD34" s="57"/>
      <c r="AE34" s="57"/>
    </row>
    <row r="35" spans="1:31" x14ac:dyDescent="0.3">
      <c r="A35" s="55"/>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57"/>
      <c r="AE35" s="57"/>
    </row>
    <row r="36" spans="1:31" x14ac:dyDescent="0.3">
      <c r="A36" s="2"/>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31" x14ac:dyDescent="0.3">
      <c r="A37" s="2"/>
      <c r="B37" s="14"/>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31" x14ac:dyDescent="0.3">
      <c r="A38" s="2"/>
      <c r="B38" s="14"/>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31" x14ac:dyDescent="0.3">
      <c r="A39" s="2"/>
      <c r="B39" s="14"/>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31" x14ac:dyDescent="0.3">
      <c r="A40" s="26"/>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31"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sheetData>
  <pageMargins left="0.7" right="0.7" top="0.75" bottom="0.75" header="0.3" footer="0.3"/>
  <pageSetup paperSize="17"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workbookViewId="0">
      <selection activeCell="J20" sqref="J20"/>
    </sheetView>
  </sheetViews>
  <sheetFormatPr defaultRowHeight="14.4" x14ac:dyDescent="0.3"/>
  <cols>
    <col min="1" max="1" width="37.88671875" customWidth="1"/>
    <col min="2" max="2" width="17.88671875" customWidth="1"/>
    <col min="3" max="3" width="12.109375" customWidth="1"/>
    <col min="4" max="4" width="18.44140625" customWidth="1"/>
    <col min="5" max="5" width="11.6640625" customWidth="1"/>
    <col min="6" max="6" width="12.33203125" customWidth="1"/>
    <col min="7" max="7" width="11.44140625" customWidth="1"/>
    <col min="8" max="8" width="10.6640625" bestFit="1" customWidth="1"/>
    <col min="9" max="9" width="11.5546875" customWidth="1"/>
    <col min="10" max="11" width="11.33203125" customWidth="1"/>
    <col min="12" max="12" width="11" customWidth="1"/>
    <col min="13" max="13" width="10.44140625" customWidth="1"/>
    <col min="14" max="14" width="10.5546875" customWidth="1"/>
    <col min="15" max="15" width="11.5546875" customWidth="1"/>
    <col min="16" max="16" width="11.88671875" customWidth="1"/>
    <col min="17" max="17" width="11.109375" customWidth="1"/>
    <col min="18" max="18" width="11.33203125" customWidth="1"/>
    <col min="19" max="19" width="11.5546875" customWidth="1"/>
    <col min="20" max="20" width="11.33203125" customWidth="1"/>
    <col min="21" max="22" width="11.109375" customWidth="1"/>
    <col min="23" max="23" width="10.6640625" customWidth="1"/>
    <col min="24" max="26" width="11" customWidth="1"/>
    <col min="27" max="27" width="11.6640625" customWidth="1"/>
    <col min="28" max="29" width="11.109375" customWidth="1"/>
    <col min="30" max="30" width="17.109375" customWidth="1"/>
  </cols>
  <sheetData>
    <row r="1" spans="1:32" x14ac:dyDescent="0.3">
      <c r="A1" s="3" t="s">
        <v>114</v>
      </c>
    </row>
    <row r="3" spans="1:32" ht="60.6" x14ac:dyDescent="0.3">
      <c r="A3" s="4"/>
      <c r="B3" s="8" t="s">
        <v>117</v>
      </c>
      <c r="C3" s="7"/>
      <c r="D3" s="7"/>
      <c r="E3" s="7"/>
      <c r="F3" s="7" t="s">
        <v>45</v>
      </c>
      <c r="G3" s="7" t="s">
        <v>26</v>
      </c>
      <c r="H3" s="8" t="s">
        <v>22</v>
      </c>
      <c r="I3" s="7" t="s">
        <v>0</v>
      </c>
      <c r="J3" s="7" t="s">
        <v>1</v>
      </c>
      <c r="K3" s="7" t="s">
        <v>2</v>
      </c>
      <c r="L3" s="9" t="s">
        <v>3</v>
      </c>
      <c r="M3" s="9" t="s">
        <v>4</v>
      </c>
      <c r="N3" s="9" t="s">
        <v>5</v>
      </c>
      <c r="O3" s="9" t="s">
        <v>6</v>
      </c>
      <c r="P3" s="9" t="s">
        <v>7</v>
      </c>
      <c r="Q3" s="9" t="s">
        <v>8</v>
      </c>
      <c r="R3" s="9" t="s">
        <v>9</v>
      </c>
      <c r="S3" s="10" t="s">
        <v>11</v>
      </c>
      <c r="T3" s="10" t="s">
        <v>12</v>
      </c>
      <c r="U3" s="10" t="s">
        <v>13</v>
      </c>
      <c r="V3" s="10" t="s">
        <v>14</v>
      </c>
      <c r="W3" s="10" t="s">
        <v>15</v>
      </c>
      <c r="X3" s="10" t="s">
        <v>16</v>
      </c>
      <c r="Y3" s="10" t="s">
        <v>17</v>
      </c>
      <c r="Z3" s="10" t="s">
        <v>18</v>
      </c>
      <c r="AA3" s="10" t="s">
        <v>19</v>
      </c>
      <c r="AB3" s="10" t="s">
        <v>20</v>
      </c>
      <c r="AC3" s="10" t="s">
        <v>35</v>
      </c>
      <c r="AD3" s="1" t="s">
        <v>46</v>
      </c>
    </row>
    <row r="4" spans="1:32" x14ac:dyDescent="0.3">
      <c r="A4" s="24" t="s">
        <v>44</v>
      </c>
      <c r="B4" s="68">
        <f>$H$24</f>
        <v>0</v>
      </c>
      <c r="C4" s="30"/>
      <c r="D4" s="30"/>
      <c r="E4" s="30"/>
      <c r="F4" s="69">
        <v>0</v>
      </c>
      <c r="G4" s="68">
        <f>$H$24</f>
        <v>0</v>
      </c>
      <c r="H4" s="17">
        <f t="shared" ref="H4:R4" si="0">G4*1.035</f>
        <v>0</v>
      </c>
      <c r="I4" s="17">
        <f t="shared" si="0"/>
        <v>0</v>
      </c>
      <c r="J4" s="17">
        <f t="shared" si="0"/>
        <v>0</v>
      </c>
      <c r="K4" s="17">
        <f t="shared" si="0"/>
        <v>0</v>
      </c>
      <c r="L4" s="17">
        <f t="shared" si="0"/>
        <v>0</v>
      </c>
      <c r="M4" s="17">
        <f t="shared" si="0"/>
        <v>0</v>
      </c>
      <c r="N4" s="17">
        <f t="shared" si="0"/>
        <v>0</v>
      </c>
      <c r="O4" s="17">
        <f t="shared" si="0"/>
        <v>0</v>
      </c>
      <c r="P4" s="17">
        <f t="shared" si="0"/>
        <v>0</v>
      </c>
      <c r="Q4" s="17">
        <f t="shared" si="0"/>
        <v>0</v>
      </c>
      <c r="R4" s="17">
        <f t="shared" si="0"/>
        <v>0</v>
      </c>
      <c r="S4" s="17">
        <f t="shared" ref="H4:AC6" si="1">R4*1.035</f>
        <v>0</v>
      </c>
      <c r="T4" s="17">
        <f t="shared" si="1"/>
        <v>0</v>
      </c>
      <c r="U4" s="17">
        <f t="shared" si="1"/>
        <v>0</v>
      </c>
      <c r="V4" s="17">
        <f t="shared" si="1"/>
        <v>0</v>
      </c>
      <c r="W4" s="17">
        <f t="shared" si="1"/>
        <v>0</v>
      </c>
      <c r="X4" s="17">
        <f t="shared" si="1"/>
        <v>0</v>
      </c>
      <c r="Y4" s="17">
        <f t="shared" si="1"/>
        <v>0</v>
      </c>
      <c r="Z4" s="17">
        <f t="shared" si="1"/>
        <v>0</v>
      </c>
      <c r="AA4" s="17">
        <f t="shared" si="1"/>
        <v>0</v>
      </c>
      <c r="AB4" s="17">
        <f t="shared" si="1"/>
        <v>0</v>
      </c>
      <c r="AC4" s="17">
        <f t="shared" si="1"/>
        <v>0</v>
      </c>
      <c r="AD4" s="18">
        <f t="shared" ref="AD4:AD9" si="2">SUM(F4:AC4)</f>
        <v>0</v>
      </c>
      <c r="AE4" s="31"/>
      <c r="AF4" s="25"/>
    </row>
    <row r="5" spans="1:32" x14ac:dyDescent="0.3">
      <c r="A5" s="28" t="s">
        <v>31</v>
      </c>
      <c r="B5" s="17">
        <f>$H$25</f>
        <v>1294944</v>
      </c>
      <c r="C5" s="17"/>
      <c r="D5" s="17"/>
      <c r="E5" s="17"/>
      <c r="F5" s="17">
        <v>1001102</v>
      </c>
      <c r="G5" s="17">
        <f>$H$25</f>
        <v>1294944</v>
      </c>
      <c r="H5" s="17">
        <f t="shared" si="1"/>
        <v>1340267.0399999998</v>
      </c>
      <c r="I5" s="17">
        <f t="shared" si="1"/>
        <v>1387176.3863999997</v>
      </c>
      <c r="J5" s="17">
        <f t="shared" si="1"/>
        <v>1435727.5599239997</v>
      </c>
      <c r="K5" s="17">
        <f t="shared" si="1"/>
        <v>1485978.0245213397</v>
      </c>
      <c r="L5" s="17">
        <f t="shared" si="1"/>
        <v>1537987.2553795865</v>
      </c>
      <c r="M5" s="17">
        <f t="shared" si="1"/>
        <v>1591816.8093178719</v>
      </c>
      <c r="N5" s="17">
        <f t="shared" si="1"/>
        <v>1647530.3976439973</v>
      </c>
      <c r="O5" s="17">
        <f t="shared" si="1"/>
        <v>1705193.9615615371</v>
      </c>
      <c r="P5" s="17">
        <f t="shared" si="1"/>
        <v>1764875.7502161907</v>
      </c>
      <c r="Q5" s="17">
        <f t="shared" si="1"/>
        <v>1826646.4014737573</v>
      </c>
      <c r="R5" s="17">
        <f t="shared" si="1"/>
        <v>1890579.0255253387</v>
      </c>
      <c r="S5" s="17">
        <f t="shared" si="1"/>
        <v>1956749.2914187254</v>
      </c>
      <c r="T5" s="17">
        <f t="shared" si="1"/>
        <v>2025235.5166183806</v>
      </c>
      <c r="U5" s="17">
        <f t="shared" si="1"/>
        <v>2096118.7597000238</v>
      </c>
      <c r="V5" s="17">
        <f t="shared" si="1"/>
        <v>2169482.9162895246</v>
      </c>
      <c r="W5" s="17">
        <f t="shared" si="1"/>
        <v>2245414.8183596577</v>
      </c>
      <c r="X5" s="17">
        <f t="shared" si="1"/>
        <v>2324004.3370022457</v>
      </c>
      <c r="Y5" s="17">
        <f t="shared" si="1"/>
        <v>2405344.4887973242</v>
      </c>
      <c r="Z5" s="17">
        <f t="shared" si="1"/>
        <v>2489531.5459052306</v>
      </c>
      <c r="AA5" s="17">
        <f t="shared" si="1"/>
        <v>2576665.1500119134</v>
      </c>
      <c r="AB5" s="17">
        <f t="shared" si="1"/>
        <v>2666848.43026233</v>
      </c>
      <c r="AC5" s="17">
        <f t="shared" si="1"/>
        <v>2760188.1253215112</v>
      </c>
      <c r="AD5" s="18">
        <f t="shared" si="2"/>
        <v>45625407.991650477</v>
      </c>
      <c r="AE5" s="31"/>
      <c r="AF5" s="25"/>
    </row>
    <row r="6" spans="1:32" x14ac:dyDescent="0.3">
      <c r="A6" s="28" t="s">
        <v>32</v>
      </c>
      <c r="B6" s="17">
        <f>$H$26</f>
        <v>294089.40000000002</v>
      </c>
      <c r="C6" s="17"/>
      <c r="D6" s="17"/>
      <c r="E6" s="17"/>
      <c r="F6" s="17">
        <v>172349</v>
      </c>
      <c r="G6" s="17">
        <f>$H$26</f>
        <v>294089.40000000002</v>
      </c>
      <c r="H6" s="17">
        <f t="shared" si="1"/>
        <v>304382.52899999998</v>
      </c>
      <c r="I6" s="17">
        <f t="shared" si="1"/>
        <v>315035.91751499998</v>
      </c>
      <c r="J6" s="17">
        <f t="shared" si="1"/>
        <v>326062.17462802498</v>
      </c>
      <c r="K6" s="17">
        <f t="shared" ref="H6:AC10" si="3">J6*1.035</f>
        <v>337474.35074000584</v>
      </c>
      <c r="L6" s="17">
        <f t="shared" si="3"/>
        <v>349285.95301590604</v>
      </c>
      <c r="M6" s="17">
        <f t="shared" si="3"/>
        <v>361510.96137146273</v>
      </c>
      <c r="N6" s="17">
        <f t="shared" si="3"/>
        <v>374163.84501946392</v>
      </c>
      <c r="O6" s="17">
        <f t="shared" si="3"/>
        <v>387259.57959514513</v>
      </c>
      <c r="P6" s="17">
        <f t="shared" si="3"/>
        <v>400813.66488097515</v>
      </c>
      <c r="Q6" s="17">
        <f t="shared" si="3"/>
        <v>414842.14315180923</v>
      </c>
      <c r="R6" s="17">
        <f t="shared" si="3"/>
        <v>429361.6181621225</v>
      </c>
      <c r="S6" s="17">
        <f t="shared" si="3"/>
        <v>444389.27479779674</v>
      </c>
      <c r="T6" s="17">
        <f t="shared" si="3"/>
        <v>459942.89941571961</v>
      </c>
      <c r="U6" s="17">
        <f t="shared" si="3"/>
        <v>476040.90089526976</v>
      </c>
      <c r="V6" s="17">
        <f t="shared" si="1"/>
        <v>492702.33242660417</v>
      </c>
      <c r="W6" s="17">
        <f t="shared" si="1"/>
        <v>509946.91406153527</v>
      </c>
      <c r="X6" s="17">
        <f t="shared" si="1"/>
        <v>527795.05605368898</v>
      </c>
      <c r="Y6" s="17">
        <f t="shared" si="1"/>
        <v>546267.88301556802</v>
      </c>
      <c r="Z6" s="17">
        <f t="shared" si="1"/>
        <v>565387.25892111287</v>
      </c>
      <c r="AA6" s="17">
        <f t="shared" si="1"/>
        <v>585175.81298335176</v>
      </c>
      <c r="AB6" s="17">
        <f t="shared" si="1"/>
        <v>605656.96643776901</v>
      </c>
      <c r="AC6" s="17">
        <f t="shared" si="1"/>
        <v>626854.96026309091</v>
      </c>
      <c r="AD6" s="18">
        <f t="shared" si="2"/>
        <v>10306791.396351421</v>
      </c>
      <c r="AE6" s="31"/>
      <c r="AF6" s="25"/>
    </row>
    <row r="7" spans="1:32" x14ac:dyDescent="0.3">
      <c r="A7" s="53" t="s">
        <v>47</v>
      </c>
      <c r="B7" s="65">
        <v>0</v>
      </c>
      <c r="C7" s="31"/>
      <c r="D7" s="17"/>
      <c r="E7" s="17"/>
      <c r="F7" s="17">
        <f>$F$27</f>
        <v>2131826</v>
      </c>
      <c r="G7" s="17">
        <v>0</v>
      </c>
      <c r="H7" s="17">
        <v>0</v>
      </c>
      <c r="I7" s="17">
        <v>0</v>
      </c>
      <c r="J7" s="17">
        <v>0</v>
      </c>
      <c r="K7" s="17">
        <v>0</v>
      </c>
      <c r="L7" s="17">
        <v>0</v>
      </c>
      <c r="M7" s="17">
        <v>0</v>
      </c>
      <c r="N7" s="17">
        <v>0</v>
      </c>
      <c r="O7" s="17">
        <v>0</v>
      </c>
      <c r="P7" s="17">
        <v>0</v>
      </c>
      <c r="Q7" s="17">
        <v>0</v>
      </c>
      <c r="R7" s="17">
        <v>0</v>
      </c>
      <c r="S7" s="17">
        <v>0</v>
      </c>
      <c r="T7" s="17">
        <v>0</v>
      </c>
      <c r="U7" s="17">
        <v>0</v>
      </c>
      <c r="V7" s="17">
        <v>0</v>
      </c>
      <c r="W7" s="17">
        <v>0</v>
      </c>
      <c r="X7" s="17">
        <v>0</v>
      </c>
      <c r="Y7" s="17">
        <v>0</v>
      </c>
      <c r="Z7" s="17">
        <v>0</v>
      </c>
      <c r="AA7" s="17">
        <v>0</v>
      </c>
      <c r="AB7" s="17">
        <v>0</v>
      </c>
      <c r="AC7" s="17">
        <v>0</v>
      </c>
      <c r="AD7" s="18">
        <f t="shared" si="2"/>
        <v>2131826</v>
      </c>
      <c r="AE7" s="31"/>
      <c r="AF7" s="25"/>
    </row>
    <row r="8" spans="1:32" x14ac:dyDescent="0.3">
      <c r="A8" s="28" t="s">
        <v>43</v>
      </c>
      <c r="B8" s="17">
        <f>$H$28</f>
        <v>899200</v>
      </c>
      <c r="C8" s="17"/>
      <c r="D8" s="17"/>
      <c r="E8" s="17"/>
      <c r="F8" s="17">
        <v>1896000</v>
      </c>
      <c r="G8" s="17">
        <f>$H$28</f>
        <v>899200</v>
      </c>
      <c r="H8" s="17">
        <f t="shared" si="3"/>
        <v>930671.99999999988</v>
      </c>
      <c r="I8" s="17">
        <f t="shared" si="3"/>
        <v>963245.51999999979</v>
      </c>
      <c r="J8" s="17">
        <f t="shared" si="3"/>
        <v>996959.11319999967</v>
      </c>
      <c r="K8" s="17">
        <f t="shared" si="3"/>
        <v>1031852.6821619996</v>
      </c>
      <c r="L8" s="17">
        <f t="shared" si="3"/>
        <v>1067967.5260376695</v>
      </c>
      <c r="M8" s="17">
        <f t="shared" si="3"/>
        <v>1105346.3894489878</v>
      </c>
      <c r="N8" s="17">
        <f t="shared" si="3"/>
        <v>1144033.5130797022</v>
      </c>
      <c r="O8" s="17">
        <f t="shared" si="3"/>
        <v>1184074.6860374915</v>
      </c>
      <c r="P8" s="17">
        <f t="shared" si="3"/>
        <v>1225517.3000488037</v>
      </c>
      <c r="Q8" s="17">
        <f t="shared" si="3"/>
        <v>1268410.4055505118</v>
      </c>
      <c r="R8" s="17">
        <f t="shared" si="3"/>
        <v>1312804.7697447797</v>
      </c>
      <c r="S8" s="17">
        <f t="shared" si="3"/>
        <v>1358752.9366858469</v>
      </c>
      <c r="T8" s="17">
        <f t="shared" si="3"/>
        <v>1406309.2894698514</v>
      </c>
      <c r="U8" s="17">
        <f t="shared" si="3"/>
        <v>1455530.1146012961</v>
      </c>
      <c r="V8" s="17">
        <f t="shared" si="3"/>
        <v>1506473.6686123414</v>
      </c>
      <c r="W8" s="17">
        <f t="shared" si="3"/>
        <v>1559200.2470137733</v>
      </c>
      <c r="X8" s="17">
        <f t="shared" si="3"/>
        <v>1613772.2556592552</v>
      </c>
      <c r="Y8" s="17">
        <f t="shared" si="3"/>
        <v>1670254.2846073289</v>
      </c>
      <c r="Z8" s="17">
        <f t="shared" si="3"/>
        <v>1728713.1845685854</v>
      </c>
      <c r="AA8" s="17">
        <f t="shared" si="3"/>
        <v>1789218.1460284856</v>
      </c>
      <c r="AB8" s="17">
        <f t="shared" si="3"/>
        <v>1851840.7811394825</v>
      </c>
      <c r="AC8" s="17">
        <f t="shared" si="3"/>
        <v>1916655.2084793642</v>
      </c>
      <c r="AD8" s="18">
        <f t="shared" si="2"/>
        <v>32882804.022175558</v>
      </c>
      <c r="AE8" s="31"/>
      <c r="AF8" s="25"/>
    </row>
    <row r="9" spans="1:32" x14ac:dyDescent="0.3">
      <c r="A9" s="67" t="s">
        <v>48</v>
      </c>
      <c r="B9" s="32">
        <f>SUM(B4:B8)</f>
        <v>2488233.4</v>
      </c>
      <c r="C9" s="32"/>
      <c r="D9" s="32"/>
      <c r="E9" s="32"/>
      <c r="F9" s="32">
        <f>SUM(F4:F8)</f>
        <v>5201277</v>
      </c>
      <c r="G9" s="32">
        <f>SUM(G4:G8)</f>
        <v>2488233.4</v>
      </c>
      <c r="H9" s="32">
        <f>SUM(H4:H8)</f>
        <v>2575321.5689999997</v>
      </c>
      <c r="I9" s="32">
        <f t="shared" si="3"/>
        <v>2665457.8239149996</v>
      </c>
      <c r="J9" s="32">
        <f t="shared" si="3"/>
        <v>2758748.8477520244</v>
      </c>
      <c r="K9" s="32">
        <f t="shared" si="3"/>
        <v>2855305.0574233453</v>
      </c>
      <c r="L9" s="32">
        <f t="shared" si="3"/>
        <v>2955240.734433162</v>
      </c>
      <c r="M9" s="32">
        <f t="shared" si="3"/>
        <v>3058674.1601383225</v>
      </c>
      <c r="N9" s="32">
        <f t="shared" si="3"/>
        <v>3165727.7557431636</v>
      </c>
      <c r="O9" s="32">
        <f t="shared" si="3"/>
        <v>3276528.2271941742</v>
      </c>
      <c r="P9" s="32">
        <f t="shared" si="3"/>
        <v>3391206.7151459702</v>
      </c>
      <c r="Q9" s="32">
        <f t="shared" si="3"/>
        <v>3509898.9501760788</v>
      </c>
      <c r="R9" s="32">
        <f t="shared" si="3"/>
        <v>3632745.4134322414</v>
      </c>
      <c r="S9" s="32">
        <f t="shared" si="3"/>
        <v>3759891.5029023695</v>
      </c>
      <c r="T9" s="32">
        <f t="shared" si="3"/>
        <v>3891487.7055039522</v>
      </c>
      <c r="U9" s="32">
        <f t="shared" si="3"/>
        <v>4027689.7751965905</v>
      </c>
      <c r="V9" s="32">
        <f t="shared" si="3"/>
        <v>4168658.9173284709</v>
      </c>
      <c r="W9" s="32">
        <f t="shared" si="3"/>
        <v>4314561.979434967</v>
      </c>
      <c r="X9" s="32">
        <f t="shared" si="3"/>
        <v>4465571.6487151906</v>
      </c>
      <c r="Y9" s="32">
        <f t="shared" si="3"/>
        <v>4621866.6564202216</v>
      </c>
      <c r="Z9" s="32">
        <f t="shared" si="3"/>
        <v>4783631.9893949293</v>
      </c>
      <c r="AA9" s="32">
        <f t="shared" si="3"/>
        <v>4951059.1090237517</v>
      </c>
      <c r="AB9" s="32">
        <f t="shared" si="3"/>
        <v>5124346.1778395828</v>
      </c>
      <c r="AC9" s="32">
        <f t="shared" si="3"/>
        <v>5303698.2940639677</v>
      </c>
      <c r="AD9" s="32">
        <f t="shared" si="2"/>
        <v>90946829.410177469</v>
      </c>
      <c r="AE9" s="31"/>
      <c r="AF9" s="25"/>
    </row>
    <row r="10" spans="1:32" x14ac:dyDescent="0.3">
      <c r="A10" s="28" t="s">
        <v>49</v>
      </c>
      <c r="B10" s="11"/>
      <c r="C10" s="17"/>
      <c r="D10" s="17"/>
      <c r="E10" s="17"/>
      <c r="F10" s="17">
        <f>$F$9</f>
        <v>5201277</v>
      </c>
      <c r="G10" s="17"/>
      <c r="H10" s="17">
        <f t="shared" si="3"/>
        <v>0</v>
      </c>
      <c r="I10" s="17">
        <f t="shared" si="3"/>
        <v>0</v>
      </c>
      <c r="J10" s="17">
        <f t="shared" si="3"/>
        <v>0</v>
      </c>
      <c r="K10" s="17">
        <f t="shared" si="3"/>
        <v>0</v>
      </c>
      <c r="L10" s="17">
        <f t="shared" si="3"/>
        <v>0</v>
      </c>
      <c r="M10" s="17">
        <f t="shared" si="3"/>
        <v>0</v>
      </c>
      <c r="N10" s="17">
        <f t="shared" si="3"/>
        <v>0</v>
      </c>
      <c r="O10" s="17">
        <f t="shared" si="3"/>
        <v>0</v>
      </c>
      <c r="P10" s="17">
        <f t="shared" si="3"/>
        <v>0</v>
      </c>
      <c r="Q10" s="17">
        <f t="shared" si="3"/>
        <v>0</v>
      </c>
      <c r="R10" s="17">
        <f t="shared" si="3"/>
        <v>0</v>
      </c>
      <c r="S10" s="17">
        <f t="shared" si="3"/>
        <v>0</v>
      </c>
      <c r="T10" s="17">
        <f t="shared" si="3"/>
        <v>0</v>
      </c>
      <c r="U10" s="17">
        <f t="shared" si="3"/>
        <v>0</v>
      </c>
      <c r="V10" s="17">
        <f t="shared" si="3"/>
        <v>0</v>
      </c>
      <c r="W10" s="17">
        <f t="shared" si="3"/>
        <v>0</v>
      </c>
      <c r="X10" s="17">
        <f t="shared" si="3"/>
        <v>0</v>
      </c>
      <c r="Y10" s="17">
        <f t="shared" si="3"/>
        <v>0</v>
      </c>
      <c r="Z10" s="17">
        <f t="shared" si="3"/>
        <v>0</v>
      </c>
      <c r="AA10" s="17">
        <f t="shared" si="3"/>
        <v>0</v>
      </c>
      <c r="AB10" s="17">
        <f t="shared" si="3"/>
        <v>0</v>
      </c>
      <c r="AC10" s="17">
        <f t="shared" si="3"/>
        <v>0</v>
      </c>
      <c r="AD10" s="18"/>
      <c r="AE10" s="31"/>
      <c r="AF10" s="25"/>
    </row>
    <row r="11" spans="1:32" x14ac:dyDescent="0.3">
      <c r="A11" s="6"/>
      <c r="B11" s="11"/>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31"/>
      <c r="AF11" s="25"/>
    </row>
    <row r="12" spans="1:32" x14ac:dyDescent="0.3">
      <c r="A12" s="2"/>
      <c r="B12" s="2"/>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25"/>
    </row>
    <row r="13" spans="1:32" ht="21.6" x14ac:dyDescent="0.3">
      <c r="A13" s="29"/>
      <c r="B13" s="29"/>
      <c r="C13" s="29"/>
      <c r="D13" s="29"/>
      <c r="E13" s="5"/>
      <c r="F13" s="28" t="s">
        <v>27</v>
      </c>
      <c r="G13" s="28" t="s">
        <v>26</v>
      </c>
      <c r="H13" s="7" t="s">
        <v>22</v>
      </c>
      <c r="I13" s="7" t="s">
        <v>0</v>
      </c>
      <c r="J13" s="7" t="s">
        <v>1</v>
      </c>
      <c r="K13" s="7" t="s">
        <v>2</v>
      </c>
      <c r="L13" s="7" t="s">
        <v>3</v>
      </c>
      <c r="M13" s="7" t="s">
        <v>50</v>
      </c>
      <c r="N13" s="7" t="s">
        <v>5</v>
      </c>
      <c r="O13" s="7" t="s">
        <v>51</v>
      </c>
      <c r="P13" s="7" t="s">
        <v>7</v>
      </c>
      <c r="Q13" s="7" t="s">
        <v>52</v>
      </c>
      <c r="R13" s="7" t="s">
        <v>53</v>
      </c>
      <c r="S13" s="7" t="s">
        <v>11</v>
      </c>
      <c r="T13" s="7" t="s">
        <v>12</v>
      </c>
      <c r="U13" s="7" t="s">
        <v>13</v>
      </c>
      <c r="V13" s="7" t="s">
        <v>54</v>
      </c>
      <c r="W13" s="7" t="s">
        <v>15</v>
      </c>
      <c r="X13" s="7" t="s">
        <v>55</v>
      </c>
      <c r="Y13" s="7" t="s">
        <v>17</v>
      </c>
      <c r="Z13" s="7" t="s">
        <v>56</v>
      </c>
      <c r="AA13" s="7" t="s">
        <v>19</v>
      </c>
      <c r="AB13" s="7" t="s">
        <v>20</v>
      </c>
      <c r="AC13" s="7" t="s">
        <v>35</v>
      </c>
      <c r="AD13" s="1" t="s">
        <v>46</v>
      </c>
    </row>
    <row r="14" spans="1:32" ht="70.5" customHeight="1" x14ac:dyDescent="0.3">
      <c r="A14" s="72" t="s">
        <v>132</v>
      </c>
      <c r="B14" s="5"/>
      <c r="C14" s="5"/>
      <c r="D14" s="5"/>
      <c r="E14" s="5"/>
      <c r="F14" s="34">
        <f>$F$10</f>
        <v>5201277</v>
      </c>
      <c r="G14" s="34">
        <f t="shared" ref="G14:AC14" si="4">G10</f>
        <v>0</v>
      </c>
      <c r="H14" s="17">
        <f t="shared" si="4"/>
        <v>0</v>
      </c>
      <c r="I14" s="17">
        <f t="shared" si="4"/>
        <v>0</v>
      </c>
      <c r="J14" s="17">
        <f t="shared" si="4"/>
        <v>0</v>
      </c>
      <c r="K14" s="17">
        <f t="shared" si="4"/>
        <v>0</v>
      </c>
      <c r="L14" s="17">
        <f t="shared" si="4"/>
        <v>0</v>
      </c>
      <c r="M14" s="17">
        <f t="shared" si="4"/>
        <v>0</v>
      </c>
      <c r="N14" s="17">
        <f t="shared" si="4"/>
        <v>0</v>
      </c>
      <c r="O14" s="17">
        <f t="shared" si="4"/>
        <v>0</v>
      </c>
      <c r="P14" s="17">
        <f t="shared" si="4"/>
        <v>0</v>
      </c>
      <c r="Q14" s="17">
        <f t="shared" si="4"/>
        <v>0</v>
      </c>
      <c r="R14" s="17">
        <f t="shared" si="4"/>
        <v>0</v>
      </c>
      <c r="S14" s="17">
        <f t="shared" si="4"/>
        <v>0</v>
      </c>
      <c r="T14" s="17">
        <f t="shared" si="4"/>
        <v>0</v>
      </c>
      <c r="U14" s="17">
        <f t="shared" si="4"/>
        <v>0</v>
      </c>
      <c r="V14" s="17">
        <f t="shared" si="4"/>
        <v>0</v>
      </c>
      <c r="W14" s="17">
        <f t="shared" si="4"/>
        <v>0</v>
      </c>
      <c r="X14" s="17">
        <f t="shared" si="4"/>
        <v>0</v>
      </c>
      <c r="Y14" s="17">
        <f t="shared" si="4"/>
        <v>0</v>
      </c>
      <c r="Z14" s="17">
        <f t="shared" si="4"/>
        <v>0</v>
      </c>
      <c r="AA14" s="17">
        <f t="shared" si="4"/>
        <v>0</v>
      </c>
      <c r="AB14" s="17">
        <f t="shared" si="4"/>
        <v>0</v>
      </c>
      <c r="AC14" s="17">
        <f t="shared" si="4"/>
        <v>0</v>
      </c>
      <c r="AD14" s="18">
        <f>SUM(F14:AC14)</f>
        <v>5201277</v>
      </c>
    </row>
    <row r="15" spans="1:32" x14ac:dyDescent="0.3">
      <c r="A15" s="33"/>
      <c r="B15" s="2"/>
      <c r="C15" s="2"/>
      <c r="D15" s="2"/>
      <c r="E15" s="2"/>
      <c r="F15" s="2"/>
      <c r="G15" s="2"/>
      <c r="H15" s="2"/>
      <c r="I15" s="2"/>
      <c r="J15" s="77">
        <f>F14+G14+H14+I14+J14</f>
        <v>5201277</v>
      </c>
      <c r="K15" s="2"/>
      <c r="L15" s="2"/>
      <c r="M15" s="2"/>
      <c r="N15" s="2"/>
      <c r="O15" s="31">
        <f>K14+L14+M14+N14+O14</f>
        <v>0</v>
      </c>
      <c r="P15" s="2"/>
      <c r="Q15" s="2"/>
      <c r="R15" s="2"/>
      <c r="S15" s="2"/>
      <c r="T15" s="31">
        <f>P14+Q14+R14+S14+T14</f>
        <v>0</v>
      </c>
      <c r="U15" s="2"/>
      <c r="V15" s="2"/>
      <c r="W15" s="2"/>
      <c r="X15" s="2"/>
      <c r="Y15" s="31">
        <f>U14+V14+W14+X14+Y14</f>
        <v>0</v>
      </c>
      <c r="Z15" s="2"/>
      <c r="AA15" s="2"/>
      <c r="AB15" s="2"/>
      <c r="AC15" s="31">
        <f>Z14+AA14+AB14+AC14</f>
        <v>0</v>
      </c>
      <c r="AD15" s="2"/>
    </row>
    <row r="16" spans="1:32" x14ac:dyDescent="0.3">
      <c r="A16" s="33"/>
      <c r="B16" s="26" t="s">
        <v>108</v>
      </c>
      <c r="C16" s="26" t="s">
        <v>109</v>
      </c>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x14ac:dyDescent="0.3">
      <c r="A17" s="33"/>
      <c r="B17" s="2" t="s">
        <v>40</v>
      </c>
      <c r="C17" s="31">
        <f>SUM(F14,G14,H14,I14)</f>
        <v>5201277</v>
      </c>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3">
      <c r="A18" s="33"/>
      <c r="B18" s="2" t="s">
        <v>39</v>
      </c>
      <c r="C18" s="31">
        <f>SUM(J14,K14,L14,M14,N14,O14,P14,Q14,R14,S14)</f>
        <v>0</v>
      </c>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3">
      <c r="A19" s="33"/>
      <c r="B19" s="2" t="s">
        <v>38</v>
      </c>
      <c r="C19" s="31">
        <f>SUM(T14,U14,V14,W14,X14,Y14,Z14,AA14,AB14,AC14)</f>
        <v>0</v>
      </c>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3">
      <c r="A20" s="33"/>
      <c r="B20" s="2"/>
      <c r="C20" s="40">
        <f>SUM(C17:C19)</f>
        <v>5201277</v>
      </c>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3">
      <c r="A21" s="23"/>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3">
      <c r="A22" s="73" t="s">
        <v>112</v>
      </c>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3">
      <c r="A23" s="64"/>
      <c r="B23" s="28" t="s">
        <v>105</v>
      </c>
      <c r="C23" s="28" t="s">
        <v>29</v>
      </c>
      <c r="D23" s="28" t="s">
        <v>106</v>
      </c>
      <c r="E23" s="28" t="s">
        <v>28</v>
      </c>
      <c r="F23" s="28" t="s">
        <v>27</v>
      </c>
      <c r="G23" s="28" t="s">
        <v>41</v>
      </c>
      <c r="H23" s="28" t="s">
        <v>107</v>
      </c>
    </row>
    <row r="24" spans="1:30" x14ac:dyDescent="0.3">
      <c r="A24" s="27"/>
      <c r="B24" s="17"/>
      <c r="C24" s="17"/>
      <c r="D24" s="17"/>
      <c r="E24" s="17"/>
      <c r="F24" s="17"/>
      <c r="G24" s="17"/>
      <c r="H24" s="18"/>
    </row>
    <row r="25" spans="1:30" x14ac:dyDescent="0.3">
      <c r="A25" s="28" t="s">
        <v>31</v>
      </c>
      <c r="B25" s="17">
        <v>2120587</v>
      </c>
      <c r="C25" s="17">
        <v>1156277</v>
      </c>
      <c r="D25" s="17">
        <v>1224548</v>
      </c>
      <c r="E25" s="17">
        <v>972206</v>
      </c>
      <c r="F25" s="17">
        <v>1001102</v>
      </c>
      <c r="G25" s="17">
        <f>SUM(B25:F25)</f>
        <v>6474720</v>
      </c>
      <c r="H25" s="18">
        <f>G25/5</f>
        <v>1294944</v>
      </c>
    </row>
    <row r="26" spans="1:30" x14ac:dyDescent="0.3">
      <c r="A26" s="28" t="s">
        <v>32</v>
      </c>
      <c r="B26" s="17">
        <v>126416</v>
      </c>
      <c r="C26" s="17">
        <v>400000</v>
      </c>
      <c r="D26" s="17">
        <v>771682</v>
      </c>
      <c r="E26" s="17">
        <v>0</v>
      </c>
      <c r="F26" s="17">
        <v>172349</v>
      </c>
      <c r="G26" s="17">
        <f>SUM(B26:F26)</f>
        <v>1470447</v>
      </c>
      <c r="H26" s="18">
        <f>G26/5</f>
        <v>294089.40000000002</v>
      </c>
    </row>
    <row r="27" spans="1:30" x14ac:dyDescent="0.3">
      <c r="A27" s="53" t="s">
        <v>47</v>
      </c>
      <c r="B27" s="17">
        <v>0</v>
      </c>
      <c r="C27" s="17">
        <v>92532</v>
      </c>
      <c r="D27" s="17">
        <v>0</v>
      </c>
      <c r="E27" s="17">
        <v>1124370</v>
      </c>
      <c r="F27" s="17">
        <v>2131826</v>
      </c>
      <c r="G27" s="17">
        <f>SUM(B27:F27)</f>
        <v>3348728</v>
      </c>
      <c r="H27" s="71">
        <v>0</v>
      </c>
      <c r="I27" t="s">
        <v>131</v>
      </c>
    </row>
    <row r="28" spans="1:30" x14ac:dyDescent="0.3">
      <c r="A28" s="28" t="s">
        <v>43</v>
      </c>
      <c r="B28" s="17">
        <v>1000000</v>
      </c>
      <c r="C28" s="17">
        <v>200000</v>
      </c>
      <c r="D28" s="17">
        <v>600000</v>
      </c>
      <c r="E28" s="17">
        <v>800000</v>
      </c>
      <c r="F28" s="17">
        <v>1896000</v>
      </c>
      <c r="G28" s="17">
        <f>SUM(B28:F28)</f>
        <v>4496000</v>
      </c>
      <c r="H28" s="18">
        <f>G28/5</f>
        <v>899200</v>
      </c>
    </row>
    <row r="29" spans="1:30" x14ac:dyDescent="0.3">
      <c r="A29" s="66" t="s">
        <v>41</v>
      </c>
      <c r="B29" s="17"/>
      <c r="C29" s="17"/>
      <c r="D29" s="17"/>
      <c r="E29" s="17"/>
      <c r="F29" s="17">
        <f>SUM(F24:F28)</f>
        <v>5201277</v>
      </c>
      <c r="G29" s="17"/>
      <c r="H29" s="18">
        <f>SUM(H24:H28)</f>
        <v>2488233.4</v>
      </c>
    </row>
    <row r="30" spans="1:30" x14ac:dyDescent="0.3">
      <c r="A30" s="62"/>
      <c r="B30" s="31"/>
      <c r="C30" s="31"/>
      <c r="D30" s="31"/>
      <c r="E30" s="31"/>
      <c r="F30" s="31"/>
      <c r="G30" s="31"/>
      <c r="H30" s="40"/>
    </row>
    <row r="31" spans="1:30" x14ac:dyDescent="0.3">
      <c r="A31" s="33"/>
      <c r="B31" s="2"/>
      <c r="C31" s="2"/>
      <c r="D31" s="2"/>
      <c r="E31" s="2"/>
      <c r="F31" s="2"/>
      <c r="G31" s="2"/>
      <c r="H31" s="2"/>
    </row>
    <row r="32" spans="1:30" x14ac:dyDescent="0.3">
      <c r="A32" s="33"/>
    </row>
    <row r="33" spans="1:30" ht="21.6" x14ac:dyDescent="0.3">
      <c r="A33" s="74" t="s">
        <v>113</v>
      </c>
      <c r="B33" s="29"/>
      <c r="C33" s="28" t="s">
        <v>29</v>
      </c>
      <c r="D33" s="28" t="s">
        <v>21</v>
      </c>
      <c r="E33" s="28" t="s">
        <v>28</v>
      </c>
      <c r="F33" s="7" t="s">
        <v>27</v>
      </c>
      <c r="G33" s="7" t="s">
        <v>26</v>
      </c>
      <c r="H33" s="7" t="s">
        <v>22</v>
      </c>
      <c r="I33" s="7" t="s">
        <v>0</v>
      </c>
      <c r="J33" s="7" t="s">
        <v>1</v>
      </c>
      <c r="K33" s="7" t="s">
        <v>2</v>
      </c>
      <c r="L33" s="9" t="s">
        <v>3</v>
      </c>
      <c r="M33" s="9" t="s">
        <v>4</v>
      </c>
      <c r="N33" s="9" t="s">
        <v>5</v>
      </c>
      <c r="O33" s="9" t="s">
        <v>6</v>
      </c>
      <c r="P33" s="9" t="s">
        <v>7</v>
      </c>
      <c r="Q33" s="9" t="s">
        <v>8</v>
      </c>
      <c r="R33" s="9" t="s">
        <v>9</v>
      </c>
      <c r="S33" s="10" t="s">
        <v>11</v>
      </c>
      <c r="T33" s="10" t="s">
        <v>12</v>
      </c>
      <c r="U33" s="10" t="s">
        <v>13</v>
      </c>
      <c r="V33" s="10" t="s">
        <v>14</v>
      </c>
      <c r="W33" s="10" t="s">
        <v>15</v>
      </c>
      <c r="X33" s="10" t="s">
        <v>16</v>
      </c>
      <c r="Y33" s="10" t="s">
        <v>17</v>
      </c>
      <c r="Z33" s="10" t="s">
        <v>18</v>
      </c>
      <c r="AA33" s="10" t="s">
        <v>19</v>
      </c>
      <c r="AB33" s="10" t="s">
        <v>20</v>
      </c>
      <c r="AC33" s="10" t="s">
        <v>35</v>
      </c>
      <c r="AD33" s="1" t="s">
        <v>46</v>
      </c>
    </row>
    <row r="34" spans="1:30" x14ac:dyDescent="0.3">
      <c r="A34" s="75"/>
      <c r="B34" s="5"/>
      <c r="C34" s="76">
        <v>5180578</v>
      </c>
      <c r="D34" s="17">
        <v>5205878</v>
      </c>
      <c r="E34" s="17">
        <f t="shared" ref="E34:AC34" si="5">D34*1.035</f>
        <v>5388083.7299999995</v>
      </c>
      <c r="F34" s="17">
        <f t="shared" si="5"/>
        <v>5576666.6605499992</v>
      </c>
      <c r="G34" s="17">
        <f t="shared" si="5"/>
        <v>5771849.9936692491</v>
      </c>
      <c r="H34" s="17">
        <f t="shared" si="5"/>
        <v>5973864.7434476726</v>
      </c>
      <c r="I34" s="17">
        <f t="shared" si="5"/>
        <v>6182950.0094683403</v>
      </c>
      <c r="J34" s="17">
        <f t="shared" si="5"/>
        <v>6399353.2597997319</v>
      </c>
      <c r="K34" s="17">
        <f t="shared" si="5"/>
        <v>6623330.6238927217</v>
      </c>
      <c r="L34" s="17">
        <f t="shared" si="5"/>
        <v>6855147.195728966</v>
      </c>
      <c r="M34" s="17">
        <f t="shared" si="5"/>
        <v>7095077.3475794792</v>
      </c>
      <c r="N34" s="17">
        <f t="shared" si="5"/>
        <v>7343405.0547447605</v>
      </c>
      <c r="O34" s="17">
        <f t="shared" si="5"/>
        <v>7600424.2316608261</v>
      </c>
      <c r="P34" s="17">
        <f t="shared" si="5"/>
        <v>7866439.0797689548</v>
      </c>
      <c r="Q34" s="17">
        <f t="shared" si="5"/>
        <v>8141764.4475608673</v>
      </c>
      <c r="R34" s="17">
        <f t="shared" si="5"/>
        <v>8426726.2032254972</v>
      </c>
      <c r="S34" s="17">
        <f t="shared" si="5"/>
        <v>8721661.6203383896</v>
      </c>
      <c r="T34" s="17">
        <f t="shared" si="5"/>
        <v>9026919.7770502325</v>
      </c>
      <c r="U34" s="17">
        <f t="shared" si="5"/>
        <v>9342861.9692469891</v>
      </c>
      <c r="V34" s="17">
        <f t="shared" si="5"/>
        <v>9669862.1381706335</v>
      </c>
      <c r="W34" s="17">
        <f t="shared" si="5"/>
        <v>10008307.313006604</v>
      </c>
      <c r="X34" s="17">
        <f t="shared" si="5"/>
        <v>10358598.068961835</v>
      </c>
      <c r="Y34" s="17">
        <f t="shared" si="5"/>
        <v>10721149.001375498</v>
      </c>
      <c r="Z34" s="17">
        <f t="shared" si="5"/>
        <v>11096389.21642364</v>
      </c>
      <c r="AA34" s="17">
        <f t="shared" si="5"/>
        <v>11484762.838998467</v>
      </c>
      <c r="AB34" s="17">
        <f t="shared" si="5"/>
        <v>11886729.538363412</v>
      </c>
      <c r="AC34" s="17">
        <f t="shared" si="5"/>
        <v>12302765.07220613</v>
      </c>
      <c r="AD34" s="18">
        <f>SUM(F34:AC34)</f>
        <v>204477005.40523887</v>
      </c>
    </row>
    <row r="35" spans="1:30" x14ac:dyDescent="0.3">
      <c r="A35" s="33"/>
      <c r="B35" s="2"/>
      <c r="C35" s="2"/>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x14ac:dyDescent="0.3">
      <c r="A36" s="6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x14ac:dyDescent="0.3">
      <c r="A37" s="6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x14ac:dyDescent="0.3">
      <c r="A38" s="33"/>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3">
      <c r="A40" s="2"/>
    </row>
    <row r="41" spans="1:30" x14ac:dyDescent="0.3">
      <c r="A41" s="2"/>
    </row>
  </sheetData>
  <pageMargins left="0.7" right="0.7" top="0.75" bottom="0.75" header="0.3" footer="0.3"/>
  <pageSetup paperSize="17"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BreakPreview" zoomScale="90" zoomScaleNormal="90" zoomScaleSheetLayoutView="90" workbookViewId="0">
      <selection activeCell="J17" sqref="J17"/>
    </sheetView>
  </sheetViews>
  <sheetFormatPr defaultRowHeight="14.4" x14ac:dyDescent="0.3"/>
  <cols>
    <col min="1" max="1" width="32.5546875" customWidth="1"/>
    <col min="2" max="2" width="15.109375" customWidth="1"/>
    <col min="3" max="3" width="14.33203125" customWidth="1"/>
    <col min="4" max="4" width="15.44140625" customWidth="1"/>
    <col min="5" max="5" width="15.33203125" customWidth="1"/>
    <col min="6" max="6" width="16.109375" customWidth="1"/>
    <col min="7" max="7" width="21.5546875" customWidth="1"/>
  </cols>
  <sheetData>
    <row r="1" spans="1:7" ht="30" customHeight="1" thickBot="1" x14ac:dyDescent="0.35">
      <c r="A1" s="85" t="s">
        <v>130</v>
      </c>
    </row>
    <row r="2" spans="1:7" ht="19.5" customHeight="1" thickBot="1" x14ac:dyDescent="0.35">
      <c r="A2" s="78"/>
      <c r="B2" s="86" t="s">
        <v>142</v>
      </c>
      <c r="C2" s="86"/>
      <c r="D2" s="86"/>
      <c r="E2" s="86"/>
      <c r="F2" s="86"/>
      <c r="G2" s="87"/>
    </row>
    <row r="3" spans="1:7" ht="15" thickBot="1" x14ac:dyDescent="0.35">
      <c r="A3" s="79" t="s">
        <v>120</v>
      </c>
      <c r="B3" s="80" t="s">
        <v>121</v>
      </c>
      <c r="C3" s="80" t="s">
        <v>122</v>
      </c>
      <c r="D3" s="80" t="s">
        <v>123</v>
      </c>
      <c r="E3" s="80" t="s">
        <v>124</v>
      </c>
      <c r="F3" s="80" t="s">
        <v>125</v>
      </c>
      <c r="G3" s="80" t="s">
        <v>126</v>
      </c>
    </row>
    <row r="4" spans="1:7" ht="15" thickBot="1" x14ac:dyDescent="0.35">
      <c r="A4" s="81" t="s">
        <v>127</v>
      </c>
      <c r="B4" s="82">
        <f>'Yuma Cty Revenues '!E15+'Yuma Cty Revenues '!F15+'Yuma Cty Revenues '!G15+'Yuma Cty Revenues '!H15+'Yuma Cty Revenues '!I15</f>
        <v>8325228.2719078083</v>
      </c>
      <c r="C4" s="82">
        <f>'Yuma Cty Revenues '!J15+'Yuma Cty Revenues '!K15+'Yuma Cty Revenues '!L15+'Yuma Cty Revenues '!M15+'Yuma Cty Revenues '!N15</f>
        <v>9887759.6099290997</v>
      </c>
      <c r="D4" s="82">
        <f>'Yuma Cty Revenues '!O15+'Yuma Cty Revenues '!P15+'Yuma Cty Revenues '!Q15+'Yuma Cty Revenues '!R15+'Yuma Cty Revenues '!S15</f>
        <v>11743556.682241073</v>
      </c>
      <c r="E4" s="82">
        <f>'Yuma Cty Revenues '!T15+'Yuma Cty Revenues '!U15+'Yuma Cty Revenues '!V15+'Yuma Cty Revenues '!W15+'Yuma Cty Revenues '!X15</f>
        <v>13947661.451085567</v>
      </c>
      <c r="F4" s="82">
        <f>'Yuma Cty Revenues '!Y15+'Yuma Cty Revenues '!Z15+'Yuma Cty Revenues '!AA15+'Yuma Cty Revenues '!AB15</f>
        <v>13020579.024852583</v>
      </c>
      <c r="G4" s="82">
        <f t="shared" ref="G4:G11" si="0">SUM(B4:F4)</f>
        <v>56924785.04001613</v>
      </c>
    </row>
    <row r="5" spans="1:7" ht="15" thickBot="1" x14ac:dyDescent="0.35">
      <c r="A5" s="81" t="s">
        <v>147</v>
      </c>
      <c r="B5" s="82">
        <f>'Yuma Cty Revenues '!E16+'Yuma Cty Revenues '!F16+'Yuma Cty Revenues '!G16+'Yuma Cty Revenues '!H16+'Yuma Cty Revenues '!I16</f>
        <v>6105167.3993990608</v>
      </c>
      <c r="C5" s="82">
        <f>'Yuma Cty Revenues '!J16+'Yuma Cty Revenues '!K16+'Yuma Cty Revenues '!L16+'Yuma Cty Revenues '!M16+'Yuma Cty Revenues '!N16</f>
        <v>7251023.7139480077</v>
      </c>
      <c r="D5" s="82">
        <f>'Yuma Cty Revenues '!O16+'Yuma Cty Revenues '!P16+'Yuma Cty Revenues '!Q16+'Yuma Cty Revenues '!R16+'Yuma Cty Revenues '!S16</f>
        <v>8611941.5669767894</v>
      </c>
      <c r="E5" s="82">
        <f>'Yuma Cty Revenues '!T16+'Yuma Cty Revenues '!U16+'Yuma Cty Revenues '!V16+'Yuma Cty Revenues '!W16+'Yuma Cty Revenues '!X16</f>
        <v>10228285.06412942</v>
      </c>
      <c r="F5" s="82">
        <f>'Yuma Cty Revenues '!Y16+'Yuma Cty Revenues '!Z16+'Yuma Cty Revenues '!AA16+'Yuma Cty Revenues '!AB16</f>
        <v>9548424.6182252318</v>
      </c>
      <c r="G5" s="82">
        <f>SUM(B5:F5)</f>
        <v>41744842.362678513</v>
      </c>
    </row>
    <row r="6" spans="1:7" ht="15" thickBot="1" x14ac:dyDescent="0.35">
      <c r="A6" s="81" t="s">
        <v>128</v>
      </c>
      <c r="B6" s="82">
        <f>'City of Yuma '!E16+'City of Yuma '!F16+'City of Yuma '!G16+'City of Yuma '!H16+'City of Yuma '!I16</f>
        <v>22366827.180180702</v>
      </c>
      <c r="C6" s="82">
        <f>'City of Yuma '!J16+'City of Yuma '!K16+'City of Yuma '!L16+'City of Yuma '!M16+'City of Yuma '!N16</f>
        <v>26564774.342670918</v>
      </c>
      <c r="D6" s="82">
        <f>'City of Yuma '!O16+'City of Yuma '!P16+'City of Yuma '!Q16+'City of Yuma '!R16+'City of Yuma '!S16</f>
        <v>31550618.699389704</v>
      </c>
      <c r="E6" s="82">
        <f>'City of Yuma '!T16+'City of Yuma '!U16+'City of Yuma '!V16+'City of Yuma '!W16+'City of Yuma '!X16</f>
        <v>37472237.763951346</v>
      </c>
      <c r="F6" s="82">
        <f>'City of Yuma '!Y16+'City of Yuma '!Z16+'City of Yuma '!AA16+'City of Yuma '!AB16</f>
        <v>34981508.172871448</v>
      </c>
      <c r="G6" s="82">
        <f t="shared" si="0"/>
        <v>152935966.15906411</v>
      </c>
    </row>
    <row r="7" spans="1:7" ht="15" thickBot="1" x14ac:dyDescent="0.35">
      <c r="A7" s="81" t="s">
        <v>133</v>
      </c>
      <c r="B7" s="82">
        <f>'ADOT _federal revenues '!F5+'ADOT _federal revenues '!G5+'ADOT _federal revenues '!H5+'ADOT _federal revenues '!I5+'ADOT _federal revenues '!J5</f>
        <v>6459216.9863240002</v>
      </c>
      <c r="C7" s="82">
        <f>'ADOT _federal revenues '!K5+'ADOT _federal revenues '!L5+'ADOT _federal revenues '!M5+'ADOT _federal revenues '!N5+'ADOT _federal revenues '!O5</f>
        <v>7968506.4484243328</v>
      </c>
      <c r="D7" s="82">
        <f>'ADOT _federal revenues '!P5+'ADOT _federal revenues '!Q5+'ADOT _federal revenues '!R5+'ADOT _federal revenues '!S5+'ADOT _federal revenues '!T5</f>
        <v>9464085.9852523934</v>
      </c>
      <c r="E7" s="82">
        <f>'ADOT _federal revenues '!U5+'ADOT _federal revenues '!V5+'ADOT _federal revenues '!W5+'ADOT _federal revenues '!X5+'ADOT _federal revenues '!Y5</f>
        <v>11240365.320148775</v>
      </c>
      <c r="F7" s="82">
        <f>'ADOT _federal revenues '!Z5+'ADOT _federal revenues '!AA5+'ADOT _federal revenues '!AB5+'ADOT _federal revenues '!AC5</f>
        <v>10493233.251500987</v>
      </c>
      <c r="G7" s="82">
        <f t="shared" si="0"/>
        <v>45625407.991650485</v>
      </c>
    </row>
    <row r="8" spans="1:7" ht="15" thickBot="1" x14ac:dyDescent="0.35">
      <c r="A8" s="81" t="s">
        <v>134</v>
      </c>
      <c r="B8" s="82">
        <f>'ADOT _federal revenues '!F8+'ADOT _federal revenues '!G8+'ADOT _federal revenues '!H8+'ADOT _federal revenues '!I8+'ADOT _federal revenues '!J8</f>
        <v>5686076.6331999991</v>
      </c>
      <c r="C8" s="82">
        <f>'ADOT _federal revenues '!K8+'ADOT _federal revenues '!L8+'ADOT _federal revenues '!M8+'ADOT _federal revenues '!N8+'ADOT _federal revenues '!O8</f>
        <v>5533274.7967658509</v>
      </c>
      <c r="D8" s="82">
        <f>'ADOT _federal revenues '!P8+'ADOT _federal revenues '!Q8+'ADOT _federal revenues '!R8+'ADOT _federal revenues '!S8+'ADOT _federal revenues '!T8</f>
        <v>6571794.7014997937</v>
      </c>
      <c r="E8" s="82">
        <f>'ADOT _federal revenues '!U8+'ADOT _federal revenues '!V8+'ADOT _federal revenues '!W8+'ADOT _federal revenues '!X8+'ADOT _federal revenues '!Y8</f>
        <v>7805230.5704939961</v>
      </c>
      <c r="F8" s="82">
        <f>'ADOT _federal revenues '!Z8+'ADOT _federal revenues '!AA8+'ADOT _federal revenues '!AB8+'ADOT _federal revenues '!AC8</f>
        <v>7286427.3202159181</v>
      </c>
      <c r="G8" s="82">
        <f t="shared" si="0"/>
        <v>32882804.022175558</v>
      </c>
    </row>
    <row r="9" spans="1:7" ht="15.75" customHeight="1" thickBot="1" x14ac:dyDescent="0.35">
      <c r="A9" s="81" t="s">
        <v>148</v>
      </c>
      <c r="B9" s="82">
        <f>'ADOT _federal revenues '!F7</f>
        <v>2131826</v>
      </c>
      <c r="C9" s="82">
        <v>0</v>
      </c>
      <c r="D9" s="82">
        <v>0</v>
      </c>
      <c r="E9" s="82">
        <v>0</v>
      </c>
      <c r="F9" s="82">
        <v>0</v>
      </c>
      <c r="G9" s="82">
        <f t="shared" si="0"/>
        <v>2131826</v>
      </c>
    </row>
    <row r="10" spans="1:7" ht="15" thickBot="1" x14ac:dyDescent="0.35">
      <c r="A10" s="81" t="s">
        <v>135</v>
      </c>
      <c r="B10" s="82">
        <f>'ADOT _federal revenues '!F6+'ADOT _federal revenues '!G6+'ADOT _federal revenues '!H6+'ADOT _federal revenues '!I6+'ADOT _federal revenues '!J6</f>
        <v>1411919.0211430248</v>
      </c>
      <c r="C10" s="82">
        <f>'ADOT _federal revenues '!K6+'ADOT _federal revenues '!L6+'ADOT _federal revenues '!M6+'ADOT _federal revenues '!N6+'ADOT _federal revenues '!O6</f>
        <v>1809694.6897419835</v>
      </c>
      <c r="D10" s="82">
        <f>'ADOT _federal revenues '!P6+'ADOT _federal revenues '!Q6+'ADOT _federal revenues '!R6+'ADOT _federal revenues '!S6+'ADOT _federal revenues '!T6</f>
        <v>2149349.6004084232</v>
      </c>
      <c r="E10" s="82">
        <f>'ADOT _federal revenues '!U6+'ADOT _federal revenues '!V6+'ADOT _federal revenues '!W6+'ADOT _federal revenues '!X6+'ADOT _federal revenues '!Y6</f>
        <v>2552753.0864526662</v>
      </c>
      <c r="F10" s="82">
        <f>'ADOT _federal revenues '!Z6+'ADOT _federal revenues '!AA6+'ADOT _federal revenues '!AB6+'ADOT _federal revenues '!AC6</f>
        <v>2383074.9986053249</v>
      </c>
      <c r="G10" s="82">
        <f t="shared" si="0"/>
        <v>10306791.396351423</v>
      </c>
    </row>
    <row r="11" spans="1:7" ht="15" thickBot="1" x14ac:dyDescent="0.35">
      <c r="A11" s="81" t="s">
        <v>129</v>
      </c>
      <c r="B11" s="82">
        <f>'Developer '!F3+'Developer '!G3+'Developer '!H3+'Developer '!I3+'Developer '!J3</f>
        <v>16087397.626874996</v>
      </c>
      <c r="C11" s="82">
        <f>'Developer '!K3+'Developer '!L3+'Developer '!M3+'Developer '!N3+'Developer '!O3</f>
        <v>19106781.85493546</v>
      </c>
      <c r="D11" s="82">
        <f>'Developer '!P3+'Developer '!Q3+'Developer '!R3+'Developer '!S3+'Developer '!T3</f>
        <v>22692863.15408903</v>
      </c>
      <c r="E11" s="82">
        <f>'Developer '!U3+'Developer '!V3+'Developer '!W3+'Developer '!X3+'Developer '!Y3</f>
        <v>26952002.804030083</v>
      </c>
      <c r="F11" s="82">
        <f>'Developer '!Z3+'Developer '!AA3+'Developer '!AB3+'Developer '!AC3</f>
        <v>25160539.178459097</v>
      </c>
      <c r="G11" s="82">
        <f t="shared" si="0"/>
        <v>109999584.61838867</v>
      </c>
    </row>
    <row r="12" spans="1:7" ht="15" thickBot="1" x14ac:dyDescent="0.35">
      <c r="A12" s="84" t="s">
        <v>41</v>
      </c>
      <c r="B12" s="83">
        <f t="shared" ref="B12:G12" si="1">SUM(B4:B11)</f>
        <v>68573659.119029582</v>
      </c>
      <c r="C12" s="83">
        <f t="shared" si="1"/>
        <v>78121815.456415653</v>
      </c>
      <c r="D12" s="83">
        <f t="shared" si="1"/>
        <v>92784210.389857203</v>
      </c>
      <c r="E12" s="83">
        <f t="shared" si="1"/>
        <v>110198536.06029186</v>
      </c>
      <c r="F12" s="83">
        <f t="shared" si="1"/>
        <v>102873786.56473058</v>
      </c>
      <c r="G12" s="83">
        <f t="shared" si="1"/>
        <v>452552007.59032482</v>
      </c>
    </row>
    <row r="15" spans="1:7" ht="15" thickBot="1" x14ac:dyDescent="0.35">
      <c r="A15" s="85" t="s">
        <v>136</v>
      </c>
    </row>
    <row r="16" spans="1:7" ht="15" thickBot="1" x14ac:dyDescent="0.35">
      <c r="A16" s="78"/>
      <c r="B16" s="86" t="s">
        <v>142</v>
      </c>
      <c r="C16" s="86"/>
      <c r="D16" s="86"/>
      <c r="E16" s="86"/>
      <c r="F16" s="86"/>
      <c r="G16" s="87"/>
    </row>
    <row r="17" spans="1:7" ht="27" customHeight="1" thickBot="1" x14ac:dyDescent="0.35">
      <c r="A17" s="79" t="s">
        <v>120</v>
      </c>
      <c r="B17" s="80" t="s">
        <v>121</v>
      </c>
      <c r="C17" s="80" t="s">
        <v>122</v>
      </c>
      <c r="D17" s="80" t="s">
        <v>123</v>
      </c>
      <c r="E17" s="80" t="s">
        <v>124</v>
      </c>
      <c r="F17" s="80" t="s">
        <v>125</v>
      </c>
      <c r="G17" s="80" t="s">
        <v>126</v>
      </c>
    </row>
    <row r="18" spans="1:7" ht="15" thickBot="1" x14ac:dyDescent="0.35">
      <c r="A18" s="81" t="s">
        <v>137</v>
      </c>
      <c r="B18" s="82">
        <f>'ADOT _federal revenues '!F34+'ADOT _federal revenues '!G34+'ADOT _federal revenues '!H34+'ADOT _federal revenues '!I34+'ADOT _federal revenues '!J34</f>
        <v>29904684.666934989</v>
      </c>
      <c r="C18" s="82">
        <f>'ADOT _federal revenues '!K34+'ADOT _federal revenues '!L34+'ADOT _federal revenues '!M34+'ADOT _federal revenues '!N34+'ADOT _federal revenues '!O34</f>
        <v>35517384.453606755</v>
      </c>
      <c r="D18" s="82">
        <f>'ADOT _federal revenues '!P34+'ADOT _federal revenues '!Q34+'ADOT _federal revenues '!R34+'ADOT _federal revenues '!S34+'ADOT _federal revenues '!T34</f>
        <v>42183511.12794394</v>
      </c>
      <c r="E18" s="82">
        <f>'ADOT _federal revenues '!U34+'ADOT _federal revenues '!V34+'ADOT _federal revenues '!W34+'ADOT _federal revenues '!X34+'ADOT _federal revenues '!Y34</f>
        <v>50100778.490761556</v>
      </c>
      <c r="F18" s="82">
        <f>'ADOT _federal revenues '!Z34+'ADOT _federal revenues '!AA34+'ADOT _federal revenues '!AB34+'ADOT _federal revenues '!AC34</f>
        <v>46770646.665991649</v>
      </c>
      <c r="G18" s="82">
        <f t="shared" ref="G18:G25" si="2">SUM(B18:F18)</f>
        <v>204477005.40523887</v>
      </c>
    </row>
    <row r="19" spans="1:7" ht="15" thickBot="1" x14ac:dyDescent="0.35">
      <c r="A19" s="81" t="s">
        <v>127</v>
      </c>
      <c r="B19" s="82">
        <f>'Yuma Cty Revenues '!E8+'Yuma Cty Revenues '!F8+'Yuma Cty Revenues '!G8+'Yuma Cty Revenues '!H8+'Yuma Cty Revenues '!I8</f>
        <v>34410943.523885615</v>
      </c>
      <c r="C19" s="82">
        <f>'Yuma Cty Revenues '!J8+'Yuma Cty Revenues '!K8+'Yuma Cty Revenues '!L8+'Yuma Cty Revenues '!M8+'Yuma Cty Revenues '!N8</f>
        <v>40869406.387706935</v>
      </c>
      <c r="D19" s="82">
        <f>'Yuma Cty Revenues '!O8+'Yuma Cty Revenues '!P8+'Yuma Cty Revenues '!Q8+'Yuma Cty Revenues '!R8+'Yuma Cty Revenues '!S8</f>
        <v>48540034.286596417</v>
      </c>
      <c r="E19" s="82">
        <f>'Yuma Cty Revenues '!T8+'Yuma Cty Revenues '!U8+'Yuma Cty Revenues '!V8+'Yuma Cty Revenues '!W8+'Yuma Cty Revenues '!X8</f>
        <v>57650333.997820318</v>
      </c>
      <c r="F19" s="82">
        <f>'Yuma Cty Revenues '!Y8+'Yuma Cty Revenues '!Z8+'Yuma Cty Revenues '!AA8+'Yuma Cty Revenues '!AB8</f>
        <v>53818393.302723981</v>
      </c>
      <c r="G19" s="82">
        <f t="shared" si="2"/>
        <v>235289111.49873325</v>
      </c>
    </row>
    <row r="20" spans="1:7" ht="15" thickBot="1" x14ac:dyDescent="0.35">
      <c r="A20" s="81" t="s">
        <v>147</v>
      </c>
      <c r="B20" s="82">
        <f>'Yuma Cty Revenues '!E9+'Yuma Cty Revenues '!F9+'Yuma Cty Revenues '!G9+'Yuma Cty Revenues '!H9+'Yuma Cty Revenues '!I9</f>
        <v>6105167.3993990608</v>
      </c>
      <c r="C20" s="82">
        <f>'Yuma Cty Revenues '!J9+'Yuma Cty Revenues '!K9+'Yuma Cty Revenues '!L9+'Yuma Cty Revenues '!M9+'Yuma Cty Revenues '!N9</f>
        <v>7251023.7139480077</v>
      </c>
      <c r="D20" s="82">
        <f>'Yuma Cty Revenues '!O9+'Yuma Cty Revenues '!P9+'Yuma Cty Revenues '!Q9+'Yuma Cty Revenues '!R9+'Yuma Cty Revenues '!S9</f>
        <v>8611941.5669767894</v>
      </c>
      <c r="E20" s="82">
        <f>'Yuma Cty Revenues '!T9+'Yuma Cty Revenues '!U9+'Yuma Cty Revenues '!V9+'Yuma Cty Revenues '!W9+'Yuma Cty Revenues '!X9</f>
        <v>10228285.06412942</v>
      </c>
      <c r="F20" s="82">
        <f>'Yuma Cty Revenues '!Y9+'Yuma Cty Revenues '!Z9+'Yuma Cty Revenues '!AA9+'Yuma Cty Revenues '!AB9</f>
        <v>9548424.6182252318</v>
      </c>
      <c r="G20" s="82">
        <f>SUM(B20:F20)</f>
        <v>41744842.362678513</v>
      </c>
    </row>
    <row r="21" spans="1:7" ht="15" thickBot="1" x14ac:dyDescent="0.35">
      <c r="A21" s="81" t="s">
        <v>138</v>
      </c>
      <c r="B21" s="82">
        <f>'City of Yuma '!E8+'City of Yuma '!F8+'City of Yuma '!G8+'City of Yuma '!H8+'City of Yuma '!I8</f>
        <v>27199595.780236498</v>
      </c>
      <c r="C21" s="82">
        <f>'City of Yuma '!J8+'City of Yuma '!K8+'City of Yuma '!L8+'City of Yuma '!M8+'City of Yuma '!N8</f>
        <v>32304587.4273174</v>
      </c>
      <c r="D21" s="82">
        <f>'City of Yuma '!O8+'City of Yuma '!P8+'City of Yuma '!Q8+'City of Yuma '!R8+'City of Yuma '!S8</f>
        <v>38367716.096997075</v>
      </c>
      <c r="E21" s="82">
        <f>'City of Yuma '!T8+'City of Yuma '!U8+'City of Yuma '!V8+'City of Yuma '!W8+'City of Yuma '!X8</f>
        <v>45568810.987350576</v>
      </c>
      <c r="F21" s="82">
        <f>'City of Yuma '!Y8+'City of Yuma '!Z8+'City of Yuma '!AA8+'City of Yuma '!AB8</f>
        <v>42539912.989011422</v>
      </c>
      <c r="G21" s="82">
        <f t="shared" si="2"/>
        <v>185980623.280913</v>
      </c>
    </row>
    <row r="22" spans="1:7" ht="15" thickBot="1" x14ac:dyDescent="0.35">
      <c r="A22" s="81" t="s">
        <v>128</v>
      </c>
      <c r="B22" s="82">
        <f>'City of Yuma '!E9+'City of Yuma '!F9+'City of Yuma '!G9+'City of Yuma '!H9+'City of Yuma '!I9</f>
        <v>6598380.4910828779</v>
      </c>
      <c r="C22" s="82">
        <f>'City of Yuma '!J9+'City of Yuma '!K9+'City of Yuma '!L9+'City of Yuma '!M9+'City of Yuma '!N9</f>
        <v>7836806.1487066336</v>
      </c>
      <c r="D22" s="82">
        <f>'City of Yuma '!O9+'City of Yuma '!P9+'City of Yuma '!Q9+'City of Yuma '!R9+'City of Yuma '!S9</f>
        <v>9307667.3428280931</v>
      </c>
      <c r="E22" s="82">
        <f>'City of Yuma '!T9+'City of Yuma '!U9+'City of Yuma '!V9+'City of Yuma '!W9+'City of Yuma '!X9</f>
        <v>11054589.040593559</v>
      </c>
      <c r="F22" s="82">
        <f>'City of Yuma '!Y9+'City of Yuma '!Z9+'City of Yuma '!AA9+'City of Yuma '!AB9</f>
        <v>10319805.273099376</v>
      </c>
      <c r="G22" s="82">
        <f t="shared" si="2"/>
        <v>45117248.296310537</v>
      </c>
    </row>
    <row r="23" spans="1:7" ht="15" thickBot="1" x14ac:dyDescent="0.35">
      <c r="A23" s="81" t="s">
        <v>139</v>
      </c>
      <c r="B23" s="82">
        <f>'City of San Luis  '!E4+'City of San Luis  '!F4+'City of San Luis  '!G4+'City of San Luis  '!H4+'City of San Luis  '!I4</f>
        <v>12641466.743735529</v>
      </c>
      <c r="C23" s="82">
        <f>'City of San Luis  '!J4+'City of San Luis  '!K4+'City of San Luis  '!L4+'City of San Luis  '!M4+'City of San Luis  '!N4</f>
        <v>15014096.934825074</v>
      </c>
      <c r="D23" s="82">
        <f>'City of San Luis  '!O4+'City of San Luis  '!P4+'City of San Luis  '!Q4+'City of San Luis  '!R4+'City of San Luis  '!S4</f>
        <v>17832037.321146458</v>
      </c>
      <c r="E23" s="82">
        <f>'City of San Luis  '!T4+'City of San Luis  '!U4+'City of San Luis  '!V4+'City of San Luis  '!W4+'City of San Luis  '!X4</f>
        <v>21178866.528109621</v>
      </c>
      <c r="F23" s="82">
        <f>'City of San Luis  '!Y4+'City of San Luis  '!Z4+'City of San Luis  '!AA4+'City of San Luis  '!AB4</f>
        <v>19771135.559401877</v>
      </c>
      <c r="G23" s="82">
        <f t="shared" si="2"/>
        <v>86437603.087218553</v>
      </c>
    </row>
    <row r="24" spans="1:7" ht="15" thickBot="1" x14ac:dyDescent="0.35">
      <c r="A24" s="81" t="s">
        <v>140</v>
      </c>
      <c r="B24" s="82">
        <f>'City of Somerton '!E4+'City of Somerton '!F4+'City of Somerton '!G4+'City of Somerton '!H4+'City of Somerton '!I4</f>
        <v>6470059.5896927016</v>
      </c>
      <c r="C24" s="82">
        <f>'City of Somerton '!J4+'City of Somerton '!K4+'City of Somerton '!L4+'City of Somerton '!M4+'City of Somerton '!N4</f>
        <v>7684401.1713972567</v>
      </c>
      <c r="D24" s="82">
        <f>'City of Somerton '!O4+'City of Somerton '!P4+'City of Somerton '!Q4+'City of Somerton '!R4+'City of Somerton '!S4</f>
        <v>9126658.0383653231</v>
      </c>
      <c r="E24" s="82">
        <f>'City of Somerton '!T4+'City of Somerton '!U4+'City of Somerton '!V4+'City of Somerton '!W4+'City of Somerton '!X4</f>
        <v>10839606.768488463</v>
      </c>
      <c r="F24" s="82">
        <f>'City of Somerton '!Y4+'City of Somerton '!Z4+'City of Somerton '!AA4+'City of Somerton '!AB4</f>
        <v>10119112.585461127</v>
      </c>
      <c r="G24" s="82">
        <f t="shared" si="2"/>
        <v>44239838.153404869</v>
      </c>
    </row>
    <row r="25" spans="1:7" ht="15" thickBot="1" x14ac:dyDescent="0.35">
      <c r="A25" s="81" t="s">
        <v>141</v>
      </c>
      <c r="B25" s="82">
        <f>'Town of Wellton '!E5+'Town of Wellton '!F5+'Town of Wellton '!G5+'Town of Wellton '!H5+'Town of Wellton '!I5</f>
        <v>651274.80052040517</v>
      </c>
      <c r="C25" s="82">
        <f>'Town of Wellton '!J5+'Town of Wellton '!K5+'Town of Wellton '!L5+'Town of Wellton '!M5+'Town of Wellton '!N5</f>
        <v>773510.16179098515</v>
      </c>
      <c r="D25" s="82">
        <f>'Town of Wellton '!O5+'Town of Wellton '!P5+'Town of Wellton '!Q5+'Town of Wellton '!R5+'Town of Wellton '!S5</f>
        <v>918687.42643785127</v>
      </c>
      <c r="E25" s="82">
        <f>'Town of Wellton '!T5+'Town of Wellton '!U5+'Town of Wellton '!V5+'Town of Wellton '!W5+'Town of Wellton '!X5</f>
        <v>1091112.4755502064</v>
      </c>
      <c r="F25" s="82">
        <f>'Town of Wellton '!Y5+'Town of Wellton '!Z5+'Town of Wellton '!AA5+'Town of Wellton '!AB5</f>
        <v>1018587.6867407223</v>
      </c>
      <c r="G25" s="82">
        <f t="shared" si="2"/>
        <v>4453172.5510401707</v>
      </c>
    </row>
    <row r="26" spans="1:7" ht="15" thickBot="1" x14ac:dyDescent="0.35">
      <c r="A26" s="84" t="s">
        <v>41</v>
      </c>
      <c r="B26" s="83">
        <f t="shared" ref="B26:G26" si="3">SUM(B18:B25)</f>
        <v>123981572.99548766</v>
      </c>
      <c r="C26" s="83">
        <f t="shared" si="3"/>
        <v>147251216.39929906</v>
      </c>
      <c r="D26" s="83">
        <f t="shared" si="3"/>
        <v>174888253.20729196</v>
      </c>
      <c r="E26" s="83">
        <f t="shared" si="3"/>
        <v>207712383.35280371</v>
      </c>
      <c r="F26" s="83">
        <f t="shared" si="3"/>
        <v>193906018.68065539</v>
      </c>
      <c r="G26" s="83">
        <f t="shared" si="3"/>
        <v>847739444.63553774</v>
      </c>
    </row>
  </sheetData>
  <mergeCells count="2">
    <mergeCell ref="B2:G2"/>
    <mergeCell ref="B16:G16"/>
  </mergeCells>
  <pageMargins left="0.7" right="0.7" top="0.75" bottom="0.75" header="0.3" footer="0.3"/>
  <pageSetup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zoomScaleNormal="100" workbookViewId="0">
      <selection activeCell="J14" sqref="J14"/>
    </sheetView>
  </sheetViews>
  <sheetFormatPr defaultRowHeight="14.4" x14ac:dyDescent="0.3"/>
  <cols>
    <col min="1" max="1" width="34.44140625" customWidth="1"/>
    <col min="2" max="2" width="16.109375" customWidth="1"/>
    <col min="3" max="30" width="12.6640625" customWidth="1"/>
  </cols>
  <sheetData>
    <row r="1" spans="1:30" x14ac:dyDescent="0.3">
      <c r="A1" s="3" t="s">
        <v>115</v>
      </c>
    </row>
    <row r="2" spans="1:30" ht="36.6" x14ac:dyDescent="0.3">
      <c r="A2" s="4" t="s">
        <v>58</v>
      </c>
      <c r="B2" s="7"/>
      <c r="C2" s="7" t="s">
        <v>29</v>
      </c>
      <c r="D2" s="7" t="s">
        <v>21</v>
      </c>
      <c r="E2" s="7" t="s">
        <v>28</v>
      </c>
      <c r="F2" s="7" t="s">
        <v>27</v>
      </c>
      <c r="G2" s="7" t="s">
        <v>26</v>
      </c>
      <c r="H2" s="7" t="s">
        <v>22</v>
      </c>
      <c r="I2" s="7" t="s">
        <v>23</v>
      </c>
      <c r="J2" s="7" t="s">
        <v>24</v>
      </c>
      <c r="K2" s="7" t="s">
        <v>25</v>
      </c>
      <c r="L2" s="7" t="s">
        <v>3</v>
      </c>
      <c r="M2" s="7" t="s">
        <v>4</v>
      </c>
      <c r="N2" s="7" t="s">
        <v>5</v>
      </c>
      <c r="O2" s="7" t="s">
        <v>6</v>
      </c>
      <c r="P2" s="7" t="s">
        <v>7</v>
      </c>
      <c r="Q2" s="7" t="s">
        <v>8</v>
      </c>
      <c r="R2" s="7" t="s">
        <v>9</v>
      </c>
      <c r="S2" s="12" t="s">
        <v>11</v>
      </c>
      <c r="T2" s="12" t="s">
        <v>12</v>
      </c>
      <c r="U2" s="12" t="s">
        <v>13</v>
      </c>
      <c r="V2" s="12" t="s">
        <v>14</v>
      </c>
      <c r="W2" s="12" t="s">
        <v>15</v>
      </c>
      <c r="X2" s="12" t="s">
        <v>16</v>
      </c>
      <c r="Y2" s="12" t="s">
        <v>17</v>
      </c>
      <c r="Z2" s="12" t="s">
        <v>18</v>
      </c>
      <c r="AA2" s="12" t="s">
        <v>19</v>
      </c>
      <c r="AB2" s="12" t="s">
        <v>20</v>
      </c>
      <c r="AC2" s="12" t="s">
        <v>35</v>
      </c>
      <c r="AD2" s="12" t="s">
        <v>34</v>
      </c>
    </row>
    <row r="3" spans="1:30" x14ac:dyDescent="0.3">
      <c r="A3" s="5" t="s">
        <v>104</v>
      </c>
      <c r="B3" s="17"/>
      <c r="C3" s="17"/>
      <c r="D3" s="17"/>
      <c r="E3" s="17"/>
      <c r="F3" s="17">
        <v>3000000</v>
      </c>
      <c r="G3" s="17">
        <f t="shared" ref="G3:AC3" si="0">F3*1.035</f>
        <v>3104999.9999999995</v>
      </c>
      <c r="H3" s="17">
        <f t="shared" si="0"/>
        <v>3213674.9999999991</v>
      </c>
      <c r="I3" s="17">
        <f t="shared" si="0"/>
        <v>3326153.6249999986</v>
      </c>
      <c r="J3" s="17">
        <f t="shared" si="0"/>
        <v>3442569.0018749982</v>
      </c>
      <c r="K3" s="17">
        <f t="shared" si="0"/>
        <v>3563058.916940623</v>
      </c>
      <c r="L3" s="17">
        <f t="shared" si="0"/>
        <v>3687765.9790335447</v>
      </c>
      <c r="M3" s="17">
        <f t="shared" si="0"/>
        <v>3816837.7882997184</v>
      </c>
      <c r="N3" s="17">
        <f t="shared" si="0"/>
        <v>3950427.1108902083</v>
      </c>
      <c r="O3" s="17">
        <f t="shared" si="0"/>
        <v>4088692.059771365</v>
      </c>
      <c r="P3" s="17">
        <f t="shared" si="0"/>
        <v>4231796.2818633625</v>
      </c>
      <c r="Q3" s="17">
        <f t="shared" si="0"/>
        <v>4379909.1517285798</v>
      </c>
      <c r="R3" s="17">
        <f t="shared" si="0"/>
        <v>4533205.9720390793</v>
      </c>
      <c r="S3" s="17">
        <f t="shared" si="0"/>
        <v>4691868.1810604464</v>
      </c>
      <c r="T3" s="17">
        <f t="shared" si="0"/>
        <v>4856083.5673975619</v>
      </c>
      <c r="U3" s="17">
        <f t="shared" si="0"/>
        <v>5026046.4922564765</v>
      </c>
      <c r="V3" s="17">
        <f t="shared" si="0"/>
        <v>5201958.1194854528</v>
      </c>
      <c r="W3" s="17">
        <f t="shared" si="0"/>
        <v>5384026.6536674434</v>
      </c>
      <c r="X3" s="17">
        <f t="shared" si="0"/>
        <v>5572467.5865458036</v>
      </c>
      <c r="Y3" s="17">
        <f t="shared" si="0"/>
        <v>5767503.9520749059</v>
      </c>
      <c r="Z3" s="17">
        <f t="shared" si="0"/>
        <v>5969366.5903975274</v>
      </c>
      <c r="AA3" s="17">
        <f t="shared" si="0"/>
        <v>6178294.4210614404</v>
      </c>
      <c r="AB3" s="17">
        <f t="shared" si="0"/>
        <v>6394534.7257985901</v>
      </c>
      <c r="AC3" s="17">
        <f t="shared" si="0"/>
        <v>6618343.4412015406</v>
      </c>
      <c r="AD3" s="18">
        <f>SUM(F3:AC3)</f>
        <v>109999584.61838867</v>
      </c>
    </row>
    <row r="4" spans="1:30" x14ac:dyDescent="0.3">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30" x14ac:dyDescent="0.3">
      <c r="A5" s="13" t="s">
        <v>10</v>
      </c>
      <c r="B5" s="14"/>
      <c r="C5" s="14">
        <f t="shared" ref="C5:AD5" si="1">SUM(C3:C4)</f>
        <v>0</v>
      </c>
      <c r="D5" s="14">
        <f t="shared" si="1"/>
        <v>0</v>
      </c>
      <c r="E5" s="14">
        <f t="shared" si="1"/>
        <v>0</v>
      </c>
      <c r="F5" s="14">
        <f t="shared" si="1"/>
        <v>3000000</v>
      </c>
      <c r="G5" s="14">
        <f t="shared" si="1"/>
        <v>3104999.9999999995</v>
      </c>
      <c r="H5" s="14">
        <f t="shared" si="1"/>
        <v>3213674.9999999991</v>
      </c>
      <c r="I5" s="14">
        <f t="shared" si="1"/>
        <v>3326153.6249999986</v>
      </c>
      <c r="J5" s="14">
        <f t="shared" si="1"/>
        <v>3442569.0018749982</v>
      </c>
      <c r="K5" s="14">
        <f t="shared" si="1"/>
        <v>3563058.916940623</v>
      </c>
      <c r="L5" s="14">
        <f t="shared" si="1"/>
        <v>3687765.9790335447</v>
      </c>
      <c r="M5" s="14">
        <f t="shared" si="1"/>
        <v>3816837.7882997184</v>
      </c>
      <c r="N5" s="14">
        <f t="shared" si="1"/>
        <v>3950427.1108902083</v>
      </c>
      <c r="O5" s="14">
        <f t="shared" si="1"/>
        <v>4088692.059771365</v>
      </c>
      <c r="P5" s="14">
        <f t="shared" si="1"/>
        <v>4231796.2818633625</v>
      </c>
      <c r="Q5" s="14">
        <f t="shared" si="1"/>
        <v>4379909.1517285798</v>
      </c>
      <c r="R5" s="14">
        <f t="shared" si="1"/>
        <v>4533205.9720390793</v>
      </c>
      <c r="S5" s="14">
        <f t="shared" si="1"/>
        <v>4691868.1810604464</v>
      </c>
      <c r="T5" s="14">
        <f t="shared" si="1"/>
        <v>4856083.5673975619</v>
      </c>
      <c r="U5" s="14">
        <f t="shared" si="1"/>
        <v>5026046.4922564765</v>
      </c>
      <c r="V5" s="14">
        <f t="shared" si="1"/>
        <v>5201958.1194854528</v>
      </c>
      <c r="W5" s="14">
        <f t="shared" si="1"/>
        <v>5384026.6536674434</v>
      </c>
      <c r="X5" s="14">
        <f t="shared" si="1"/>
        <v>5572467.5865458036</v>
      </c>
      <c r="Y5" s="14">
        <f t="shared" si="1"/>
        <v>5767503.9520749059</v>
      </c>
      <c r="Z5" s="14">
        <f t="shared" si="1"/>
        <v>5969366.5903975274</v>
      </c>
      <c r="AA5" s="14">
        <f t="shared" si="1"/>
        <v>6178294.4210614404</v>
      </c>
      <c r="AB5" s="14">
        <f t="shared" si="1"/>
        <v>6394534.7257985901</v>
      </c>
      <c r="AC5" s="14"/>
      <c r="AD5" s="14">
        <f t="shared" si="1"/>
        <v>109999584.61838867</v>
      </c>
    </row>
    <row r="6" spans="1:30" x14ac:dyDescent="0.3">
      <c r="A6" s="15"/>
    </row>
    <row r="7" spans="1:30" x14ac:dyDescent="0.3">
      <c r="A7" s="15" t="s">
        <v>116</v>
      </c>
    </row>
    <row r="8" spans="1:30" x14ac:dyDescent="0.3">
      <c r="A8" s="35" t="s">
        <v>108</v>
      </c>
      <c r="B8" s="35" t="s">
        <v>110</v>
      </c>
    </row>
    <row r="9" spans="1:30" x14ac:dyDescent="0.3">
      <c r="A9" s="2" t="s">
        <v>40</v>
      </c>
      <c r="B9" s="31">
        <f>SUM(F3,G3,H3,I3)</f>
        <v>12644828.624999998</v>
      </c>
    </row>
    <row r="10" spans="1:30" x14ac:dyDescent="0.3">
      <c r="A10" s="2" t="s">
        <v>39</v>
      </c>
      <c r="B10" s="31">
        <f>SUM(J3,K3,L3,M3,N3,O3,P3,Q3,R3,S3)</f>
        <v>40386130.443501927</v>
      </c>
    </row>
    <row r="11" spans="1:30" x14ac:dyDescent="0.3">
      <c r="A11" s="2" t="s">
        <v>38</v>
      </c>
      <c r="B11" s="31">
        <f>SUM(T3,U3,V3,W3,X3,Y3,Z3,AA3,AB3,AC3)</f>
        <v>56968625.549886741</v>
      </c>
    </row>
    <row r="12" spans="1:30" x14ac:dyDescent="0.3">
      <c r="A12" s="26" t="s">
        <v>41</v>
      </c>
      <c r="B12" s="40">
        <f>SUM(B9:B11)</f>
        <v>109999584.61838867</v>
      </c>
    </row>
    <row r="14" spans="1:30" x14ac:dyDescent="0.3">
      <c r="A14" s="19"/>
      <c r="B14" s="20"/>
    </row>
  </sheetData>
  <pageMargins left="0.7" right="0.7" top="0.75" bottom="0.75" header="0.3" footer="0.3"/>
  <pageSetup paperSize="17"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City of San Luis  </vt:lpstr>
      <vt:lpstr>City of Somerton </vt:lpstr>
      <vt:lpstr>Town of Wellton </vt:lpstr>
      <vt:lpstr>City of Yuma </vt:lpstr>
      <vt:lpstr>Yuma Cty Revenues </vt:lpstr>
      <vt:lpstr>ADOT _federal revenues </vt:lpstr>
      <vt:lpstr>Summary</vt:lpstr>
      <vt:lpstr>Developer </vt:lpstr>
    </vt:vector>
  </TitlesOfParts>
  <Company>Kimley-Horn and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KHA_User</dc:creator>
  <cp:lastModifiedBy>Windows User</cp:lastModifiedBy>
  <cp:lastPrinted>2016-08-03T00:11:35Z</cp:lastPrinted>
  <dcterms:created xsi:type="dcterms:W3CDTF">2015-03-11T20:11:25Z</dcterms:created>
  <dcterms:modified xsi:type="dcterms:W3CDTF">2016-08-04T22:18:26Z</dcterms:modified>
</cp:coreProperties>
</file>